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1130"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'PK'!$A:$E,'PK'!$2:$8</definedName>
    <definedName name="_xlnm.Print_Titles" localSheetId="4">'RDG'!$2:$7</definedName>
    <definedName name="OLE_LINK3" localSheetId="3">'Bilanca'!$A$8</definedName>
    <definedName name="_xlnm.Print_Area" localSheetId="3">'Bilanca'!$A$2:$J$57</definedName>
    <definedName name="_xlnm.Print_Area" localSheetId="5">'Dodatni'!$A$2:$J$84</definedName>
    <definedName name="_xlnm.Print_Area" localSheetId="9">'Kont'!$A$8:$J$67</definedName>
    <definedName name="_xlnm.Print_Area" localSheetId="1">'Naslovna'!$A$2:$J$6</definedName>
    <definedName name="_xlnm.Print_Area" localSheetId="7">'NT_D'!$A$2:$J$56</definedName>
    <definedName name="_xlnm.Print_Area" localSheetId="6">'NT_I'!$A$2:$J$53</definedName>
    <definedName name="_xlnm.Print_Area" localSheetId="8">'PK'!$A$2:$M$25</definedName>
    <definedName name="_xlnm.Print_Area" localSheetId="4">'RDG'!$A$2:$J$74</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List>
</comments>
</file>

<file path=xl/sharedStrings.xml><?xml version="1.0" encoding="utf-8"?>
<sst xmlns="http://schemas.openxmlformats.org/spreadsheetml/2006/main" count="3310" uniqueCount="2812">
  <si>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</si>
  <si>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</si>
  <si>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8.3. Neto povećanje / smanjenje/ instrumenata dopunskoga kapitala</t>
  </si>
  <si>
    <t>Stanje 1. siječnja  tekuće  godine</t>
  </si>
  <si>
    <t>Promjene računovodstvenih politika i ispravci pogrešaka</t>
  </si>
  <si>
    <t>Prodaja  financijske imovine raspoložive za prodaju</t>
  </si>
  <si>
    <t>Promjena fer vrijednosti portfelja financijske imovine raspoložive za prodaju</t>
  </si>
  <si>
    <t>Porez na stavke izravno priznate  ili prenijete iz kapitala i rezervi</t>
  </si>
  <si>
    <t>Ostali dobici i gubici izravno priznati u kapitalu i rezervama</t>
  </si>
  <si>
    <t>Dobit / gubitak tekuće godine</t>
  </si>
  <si>
    <t>Povećanje / smanjenje dioničkog kapitala</t>
  </si>
  <si>
    <t>Kupnja / prodaja trezorskih dionica</t>
  </si>
  <si>
    <t>Ostale promjene</t>
  </si>
  <si>
    <t>Prijenos u rezerve</t>
  </si>
  <si>
    <t>Isplata dividende</t>
  </si>
  <si>
    <t>Dionički kapital</t>
  </si>
  <si>
    <t>Zakonske, statutarne i ostale rezerve</t>
  </si>
  <si>
    <t>Zadržana dobit / gubitak</t>
  </si>
  <si>
    <t>Ukupno kapital i rezerve</t>
  </si>
  <si>
    <r>
      <t xml:space="preserve">B) UKUPNO OBVEZE </t>
    </r>
    <r>
      <rPr>
        <b/>
        <sz val="8"/>
        <rFont val="Arial"/>
        <family val="2"/>
      </rPr>
      <t>(AOP 018+021+025+028+029+032+033+034)</t>
    </r>
  </si>
  <si>
    <r>
      <t>3. Ukupna sveobuhvatna dobit tekuće godine</t>
    </r>
    <r>
      <rPr>
        <b/>
        <sz val="8"/>
        <rFont val="Arial"/>
        <family val="2"/>
      </rPr>
      <t xml:space="preserve"> (AOP 075+076)</t>
    </r>
  </si>
  <si>
    <r>
      <t>2.2.4. Financijska imovina raspoloživa za prodaju</t>
    </r>
    <r>
      <rPr>
        <sz val="8"/>
        <rFont val="Arial"/>
        <family val="2"/>
      </rPr>
      <t xml:space="preserve"> (AOP 099+100+101)</t>
    </r>
  </si>
  <si>
    <r>
      <t>2.2.3. Zaštite novčanih tokova (efektivni udjel)</t>
    </r>
    <r>
      <rPr>
        <sz val="8"/>
        <rFont val="Arial"/>
        <family val="2"/>
      </rPr>
      <t xml:space="preserve"> (AOP 094+095+096+097)</t>
    </r>
  </si>
  <si>
    <r>
      <t>2.2.2. Zamjena strane valute</t>
    </r>
    <r>
      <rPr>
        <sz val="8"/>
        <rFont val="Arial"/>
        <family val="2"/>
      </rPr>
      <t xml:space="preserve"> (AOP 090+091+092)</t>
    </r>
  </si>
  <si>
    <r>
      <t xml:space="preserve">2. Ostala sveobuhvatna dobit </t>
    </r>
    <r>
      <rPr>
        <b/>
        <sz val="8"/>
        <rFont val="Arial"/>
        <family val="2"/>
      </rPr>
      <t>(AOP 077+084)</t>
    </r>
  </si>
  <si>
    <r>
      <t xml:space="preserve">3. Manjinski udjel </t>
    </r>
    <r>
      <rPr>
        <b/>
        <sz val="8"/>
        <color indexed="12"/>
        <rFont val="Arial"/>
        <family val="2"/>
      </rPr>
      <t>(AOP 072-073)</t>
    </r>
  </si>
  <si>
    <r>
      <t xml:space="preserve">  6. Neto prihod od provizija i naknada </t>
    </r>
    <r>
      <rPr>
        <b/>
        <sz val="8"/>
        <rFont val="Arial"/>
        <family val="2"/>
      </rPr>
      <t>(AOP 050-051)</t>
    </r>
  </si>
  <si>
    <r>
      <t xml:space="preserve">  3. Neto kamatni prihodi </t>
    </r>
    <r>
      <rPr>
        <b/>
        <sz val="8"/>
        <rFont val="Arial"/>
        <family val="2"/>
      </rPr>
      <t>(AOP 047-048)</t>
    </r>
  </si>
  <si>
    <r>
      <t xml:space="preserve">  9. Neto povećanje / smanjenje gotovine i ekvivalenata gotovine 
      </t>
    </r>
    <r>
      <rPr>
        <b/>
        <sz val="8"/>
        <rFont val="Arial"/>
        <family val="2"/>
      </rPr>
      <t>(AOP 024+025+031)</t>
    </r>
  </si>
  <si>
    <r>
      <t xml:space="preserve">  8. Neto novčani tijek iz financijskih aktivnosti </t>
    </r>
    <r>
      <rPr>
        <b/>
        <sz val="8"/>
        <rFont val="Arial"/>
        <family val="2"/>
      </rPr>
      <t>(AOP 032 do 037)</t>
    </r>
  </si>
  <si>
    <r>
      <t xml:space="preserve">  7. Neto novčani tijek iz ulagačkih aktivnosti </t>
    </r>
    <r>
      <rPr>
        <b/>
        <sz val="8"/>
        <rFont val="Arial"/>
        <family val="2"/>
      </rPr>
      <t>(AOP 026 do 030)</t>
    </r>
  </si>
  <si>
    <r>
      <t xml:space="preserve">  6. Neto priljev / odljev gotovine iz poslovnih aktivnosti </t>
    </r>
    <r>
      <rPr>
        <b/>
        <sz val="8"/>
        <rFont val="Arial"/>
        <family val="2"/>
      </rPr>
      <t>(AOP 022+023)</t>
    </r>
  </si>
  <si>
    <r>
      <t xml:space="preserve">Neto dobici / gubici priznati izravno u kapitalu i rezervama </t>
    </r>
    <r>
      <rPr>
        <sz val="8"/>
        <rFont val="Arial"/>
        <family val="2"/>
      </rPr>
      <t>(AOP 04 do 07)</t>
    </r>
  </si>
  <si>
    <r>
      <t xml:space="preserve">Ukupno priznati prihodi i rashodi za tekuću godinu </t>
    </r>
    <r>
      <rPr>
        <sz val="8"/>
        <rFont val="Arial"/>
        <family val="2"/>
      </rPr>
      <t>(AOP 08+09)</t>
    </r>
  </si>
  <si>
    <r>
      <t xml:space="preserve">Raspodjela dobiti </t>
    </r>
    <r>
      <rPr>
        <sz val="8"/>
        <rFont val="Arial"/>
        <family val="2"/>
      </rPr>
      <t>(AOP 14+15)</t>
    </r>
  </si>
  <si>
    <r>
      <t xml:space="preserve"> 2.1. Stavke koje neće biti reklasificirane u dobit ili gubitak </t>
    </r>
    <r>
      <rPr>
        <sz val="8"/>
        <rFont val="Arial"/>
        <family val="2"/>
      </rPr>
      <t>(AOP 078 do 083)</t>
    </r>
  </si>
  <si>
    <r>
      <t xml:space="preserve">2.2. Stavke koje je moguće reklasificirati u dobit ili gubitak
</t>
    </r>
    <r>
      <rPr>
        <sz val="8"/>
        <rFont val="Arial"/>
        <family val="2"/>
      </rPr>
      <t xml:space="preserve">        (AOP 085+089+093+098+102+106+107)</t>
    </r>
  </si>
  <si>
    <r>
      <t>2.2.1. Zaštita neto ulaganja u inozemno poslovanje (efektivni udjel)</t>
    </r>
    <r>
      <rPr>
        <sz val="8"/>
        <rFont val="Arial"/>
        <family val="2"/>
      </rPr>
      <t xml:space="preserve"> (AOP 086 do 088)</t>
    </r>
  </si>
  <si>
    <t xml:space="preserve">   2.2.3.4. Ostale reklasifikacije</t>
  </si>
  <si>
    <t xml:space="preserve">   2.2.3.3. Preneseno u početnu knjigovodstvenu vrijednost zaštićenih stavki</t>
  </si>
  <si>
    <t xml:space="preserve">   2.2.1.2. Preneseno u dobit ili gubitak</t>
  </si>
  <si>
    <t xml:space="preserve">   2.2.1.3. Ostale reklasifikacije</t>
  </si>
  <si>
    <t xml:space="preserve">   2.2.2.2. Preneseno u dobit ili gubitak</t>
  </si>
  <si>
    <t xml:space="preserve">   2.2.2.3. Ostale reklasifikacije</t>
  </si>
  <si>
    <t xml:space="preserve">   2.2.3.2. Preneseno u dobit ili gubitak</t>
  </si>
  <si>
    <t xml:space="preserve">   2.2.4.2. Preneseno u dobit ili gubitak</t>
  </si>
  <si>
    <t xml:space="preserve">   2.2.4.3. Ostale reklasifikacije</t>
  </si>
  <si>
    <r>
      <t xml:space="preserve">2.2.5. Dugotrajna imovina i grupe za otuđenje namijenjene za prodaju
</t>
    </r>
    <r>
      <rPr>
        <sz val="8"/>
        <rFont val="Arial"/>
        <family val="2"/>
      </rPr>
      <t xml:space="preserve">           (AOP 103 do 105)</t>
    </r>
  </si>
  <si>
    <t xml:space="preserve">   2.2.5.1. Dobici ili gubici (-) u kapitalu</t>
  </si>
  <si>
    <t xml:space="preserve">   2.2.5.2. Preneseno u dobit ili gubitak</t>
  </si>
  <si>
    <t xml:space="preserve">   2.2.5.3. Ostale reklasifikacije</t>
  </si>
  <si>
    <t>2.2.6. Udjel ostalih priznatih prihoda i rashoda od ulaganja u društva kćeri,
           zajedničke pothvate i pridružena društva</t>
  </si>
  <si>
    <t>2.2.7. Porez na dobit koji se odnosi na stavke koje je moguće reklasificirati u 
           dobit ili gubitak (-)</t>
  </si>
  <si>
    <t xml:space="preserve">1. Dobit ili (-) gubitak tekuće godine </t>
  </si>
  <si>
    <t xml:space="preserve">   2.2.1.1. Dobici ili gubici (-) u kapitalu</t>
  </si>
  <si>
    <t xml:space="preserve">   2.2.2.1. Dobici ili gubici (-) u kapitalu</t>
  </si>
  <si>
    <t xml:space="preserve">   2.2.3.1. Dobici ili gubici (-) u kapitalu</t>
  </si>
  <si>
    <t>3.0.2.</t>
  </si>
  <si>
    <t>Odluka o raspodjeli dobiti ili pokriću gubitka predaje se uz izvještaje s oznakom vrste izvještaja 10 i 11. Za vrste izvještaja 20 i 30 ova odluka može se predati, ali njie obvezna dok se uz ostale vrste izvještaja kao ni uz konsolidirane izvještaje ne predaje.</t>
  </si>
  <si>
    <t>Odluka o utvrđivanju godišnjeg izvještaja predaje se uz izvještaje s oznakom vrste izvještaja 10 i 11 - ako je svrha predaje javna objava. Kod vrsta izvještaja 20 i 30 odluka se može predati ali i ne mora (zavisi od stečajnog ili likvidacijskog upravitelja).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</si>
  <si>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 Kontrola jednako tako upozorava ako je broj zaposlenih veći od nule, a troškovi osoblja u koloni za tu godinu su jednaki nuli.</t>
  </si>
  <si>
    <t>Obrazac
BAN-PK</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</si>
  <si>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</si>
  <si>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</si>
  <si>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</si>
  <si>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</si>
  <si>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</si>
  <si>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</si>
  <si>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</si>
  <si>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</si>
  <si>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</si>
  <si>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</si>
  <si>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</si>
  <si>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 xml:space="preserve">       2.7. Vrijednosni papiri i drugi financijski instrumenti kojima se aktivno 
               ne trguje, a vrednuju se prema fer vrijednosti kroz RDG</t>
  </si>
  <si>
    <t xml:space="preserve">       2.8. Ostala poslovna imovina</t>
  </si>
  <si>
    <r>
      <t xml:space="preserve">11. Neto povećanje / smanjenje gotovine i ekvivalenata gotovine </t>
    </r>
    <r>
      <rPr>
        <b/>
        <sz val="8"/>
        <rFont val="Arial"/>
        <family val="2"/>
      </rPr>
      <t>(AOP 038+039)</t>
    </r>
  </si>
  <si>
    <r>
      <t xml:space="preserve">13. Gotovina i ekvivalenti gotovine na kraju godine </t>
    </r>
    <r>
      <rPr>
        <b/>
        <sz val="8"/>
        <rFont val="Arial"/>
        <family val="2"/>
      </rPr>
      <t>(AOP 040+041)</t>
    </r>
  </si>
  <si>
    <r>
      <t xml:space="preserve">Prepravljeno stanje 1. siječnja tekuće godine </t>
    </r>
    <r>
      <rPr>
        <sz val="8"/>
        <rFont val="Arial"/>
        <family val="2"/>
      </rPr>
      <t>(AOP 01+02)</t>
    </r>
  </si>
  <si>
    <r>
      <t xml:space="preserve">Stanje na dan 31.12. tekuće godine                 </t>
    </r>
    <r>
      <rPr>
        <sz val="8"/>
        <rFont val="Arial"/>
        <family val="2"/>
      </rPr>
      <t xml:space="preserve">(AOP 03 + 10 do 13 + 16) </t>
    </r>
  </si>
  <si>
    <t xml:space="preserve">Nerealizirani dobitak / gubitak s osnove vrijednosnog usklađivanja financijske imovine raspoložive za prodaju </t>
  </si>
  <si>
    <t xml:space="preserve">      7.1. Primici od prodaje / plaćanja za kupnju materijalne  i nematerijalne imovine</t>
  </si>
  <si>
    <r>
      <t xml:space="preserve">  4. Neto priljev / odljev gotovine iz poslovnih aktivnosti prije  plaćanja poreza na dobit</t>
    </r>
    <r>
      <rPr>
        <b/>
        <sz val="8"/>
        <rFont val="Arial"/>
        <family val="2"/>
      </rPr>
      <t xml:space="preserve"> 
      </t>
    </r>
    <r>
      <rPr>
        <sz val="8"/>
        <rFont val="Arial"/>
        <family val="2"/>
      </rPr>
      <t>(AOP 001+010+019)</t>
    </r>
  </si>
  <si>
    <t xml:space="preserve">      1.6. Neto dobici / gubici od financijskih instrumenata po fer vrijednosti u računu
              dobiti i gubitka</t>
  </si>
  <si>
    <t xml:space="preserve">      2.5. Vrijednosni papiri i drugi financijski instrumenti koji se drže radi trgovanja</t>
  </si>
  <si>
    <t xml:space="preserve">      7.3. Primici od naplate / plaćanja za kupnju vrijednosnih papira i drugih financijskih
              instrumenata koji se drže do dospijeća</t>
  </si>
  <si>
    <t xml:space="preserve">      7.2. Primici od prodaje / plaćanja za kupnju ulaganja u podružnice, pridružena
              društva i zajedničke pothvate</t>
  </si>
  <si>
    <t xml:space="preserve">      2.7. Vrijednosni papiri i drugi financijski instrumenti kojima se aktivno ne trguje, a
              vrednuju se prema fer vrijednosti kroz RDG</t>
  </si>
  <si>
    <r>
      <t xml:space="preserve"> 1. Krediti od financijskih institucija</t>
    </r>
    <r>
      <rPr>
        <sz val="9"/>
        <rFont val="Arial"/>
        <family val="2"/>
      </rPr>
      <t xml:space="preserve"> </t>
    </r>
    <r>
      <rPr>
        <sz val="8"/>
        <rFont val="Arial"/>
        <family val="2"/>
      </rPr>
      <t>(AOP 019+020)</t>
    </r>
  </si>
  <si>
    <r>
      <t xml:space="preserve"> 2. Depoziti</t>
    </r>
    <r>
      <rPr>
        <sz val="9"/>
        <rFont val="Arial"/>
        <family val="2"/>
      </rPr>
      <t xml:space="preserve"> </t>
    </r>
    <r>
      <rPr>
        <sz val="8"/>
        <rFont val="Arial"/>
        <family val="2"/>
      </rPr>
      <t>(AOP 022 do 024)</t>
    </r>
  </si>
  <si>
    <r>
      <t xml:space="preserve"> 3. Ostali krediti</t>
    </r>
    <r>
      <rPr>
        <sz val="9"/>
        <rFont val="Arial"/>
        <family val="2"/>
      </rPr>
      <t xml:space="preserve"> </t>
    </r>
    <r>
      <rPr>
        <sz val="8"/>
        <rFont val="Arial"/>
        <family val="2"/>
      </rPr>
      <t>(AOP 026+027)</t>
    </r>
  </si>
  <si>
    <t xml:space="preserve"> 4. Derivatne financijske obveze i ostale financijske obveze kojima se trguje</t>
  </si>
  <si>
    <r>
      <t xml:space="preserve"> 5. Izdani dužnički vrijednosni papiri</t>
    </r>
    <r>
      <rPr>
        <sz val="9"/>
        <rFont val="Arial"/>
        <family val="2"/>
      </rPr>
      <t xml:space="preserve"> </t>
    </r>
    <r>
      <rPr>
        <sz val="8"/>
        <rFont val="Arial"/>
        <family val="2"/>
      </rPr>
      <t>(AOP 030+031)</t>
    </r>
  </si>
  <si>
    <t xml:space="preserve">     1.1. Kratkoročni krediti</t>
  </si>
  <si>
    <t xml:space="preserve">     1.2. Dugoročni krediti</t>
  </si>
  <si>
    <t xml:space="preserve">     2.1. Depoziti na žiroračunima i tekućim računima</t>
  </si>
  <si>
    <t xml:space="preserve">     2.2. Štedni depoziti</t>
  </si>
  <si>
    <t xml:space="preserve">     2.3. Oročeni depoziti</t>
  </si>
  <si>
    <t xml:space="preserve">     3.1. Kratkoročni krediti</t>
  </si>
  <si>
    <t xml:space="preserve">     3.2. Dugoročni krediti</t>
  </si>
  <si>
    <t xml:space="preserve">     5.1. Kratkoročni izdani dužnički vrijednosni papiri</t>
  </si>
  <si>
    <t xml:space="preserve">     5.2. Dugoročni izdani dužnički vrijednosni papiri</t>
  </si>
  <si>
    <t xml:space="preserve"> 6. Izdani podređeni instrumenti</t>
  </si>
  <si>
    <t xml:space="preserve"> 7. Izdani hibridni instrumenti</t>
  </si>
  <si>
    <t xml:space="preserve"> 8. Kamate, naknade i ostale obveze</t>
  </si>
  <si>
    <t>Proizvodnja sječiva</t>
  </si>
  <si>
    <t>2572</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</si>
  <si>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</si>
  <si>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</si>
  <si>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</si>
  <si>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</si>
  <si>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</si>
  <si>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</si>
  <si>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</si>
  <si>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</si>
  <si>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</si>
  <si>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</si>
  <si>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</si>
  <si>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</si>
  <si>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</si>
  <si>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</si>
  <si>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</si>
  <si>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</si>
  <si>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</si>
  <si>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</si>
  <si>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Ravna Gora</t>
  </si>
  <si>
    <t>Pogreška signalizira da postotak domaćeg i stranog kapitala nije dobro popunjen. Zbrojno moraju dati 100 i moraju biti upisani cijeli brojevi.</t>
  </si>
  <si>
    <t>KAP_DOM</t>
  </si>
  <si>
    <t>KAP_INO</t>
  </si>
  <si>
    <t>Pogreška signalizira da je broj mjeseci poslovanja izvan granica dopuštenog ili nije upisan za one kolone podataka koje su popunjene u Bilanci.</t>
  </si>
  <si>
    <t>MJ_POSLPR</t>
  </si>
  <si>
    <t>MJ_POSLTK</t>
  </si>
  <si>
    <t>Izvještaj kojeg ispunjava obveznik u likvidaciji.</t>
  </si>
  <si>
    <t>Kont_OS</t>
  </si>
  <si>
    <t>Kont_TEL</t>
  </si>
  <si>
    <t>Kont_MAIL</t>
  </si>
  <si>
    <t>Servis_NZ</t>
  </si>
  <si>
    <t>Servis_MB</t>
  </si>
  <si>
    <t>POTPISNIK</t>
  </si>
  <si>
    <t>Gračišće</t>
  </si>
  <si>
    <t>Otok</t>
  </si>
  <si>
    <t>Vinkovci</t>
  </si>
  <si>
    <t>Gradac</t>
  </si>
  <si>
    <t>Otok (Vinkovci)</t>
  </si>
  <si>
    <t xml:space="preserve">Proizvodnja sanitarne keramike </t>
  </si>
  <si>
    <t>2343</t>
  </si>
  <si>
    <t>2344</t>
  </si>
  <si>
    <t>2349</t>
  </si>
  <si>
    <t>2351</t>
  </si>
  <si>
    <t>Proizvodnja cementa</t>
  </si>
  <si>
    <t>2352</t>
  </si>
  <si>
    <t xml:space="preserve">Proizvodnja vapna i gipsa </t>
  </si>
  <si>
    <t>2361</t>
  </si>
  <si>
    <t>2362</t>
  </si>
  <si>
    <t>Broj mjeseci poslovanja:</t>
  </si>
  <si>
    <t>Osoba za kontaktiranje:</t>
  </si>
  <si>
    <t>Telefon:</t>
  </si>
  <si>
    <t>Selca</t>
  </si>
  <si>
    <t>Borovo</t>
  </si>
  <si>
    <t>Krk</t>
  </si>
  <si>
    <t>2229</t>
  </si>
  <si>
    <t>2311</t>
  </si>
  <si>
    <t>Proizvodnja ravnog stakla</t>
  </si>
  <si>
    <t>2312</t>
  </si>
  <si>
    <t>Oblikovanje i obrada ravnog stakla</t>
  </si>
  <si>
    <t>2313</t>
  </si>
  <si>
    <t>Proizvodnja šupljeg stakla</t>
  </si>
  <si>
    <t>2314</t>
  </si>
  <si>
    <t>3291</t>
  </si>
  <si>
    <t>Proizvodnja metla i četaka</t>
  </si>
  <si>
    <t>3299</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</si>
  <si>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</si>
  <si>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</si>
  <si>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</si>
  <si>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</si>
  <si>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</si>
  <si>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</si>
  <si>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</si>
  <si>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</si>
  <si>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</si>
  <si>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</si>
  <si>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</si>
  <si>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</si>
  <si>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</si>
  <si>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</si>
  <si>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</si>
  <si>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</si>
  <si>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</si>
  <si>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</si>
  <si>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</si>
  <si>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</si>
  <si>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</si>
  <si>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</si>
  <si>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</si>
  <si>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</si>
  <si>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</si>
  <si>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</si>
  <si>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</si>
  <si>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</si>
  <si>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</si>
  <si>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</si>
  <si>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</si>
  <si>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</si>
  <si>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</si>
  <si>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</si>
  <si>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</si>
  <si>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</si>
  <si>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</si>
  <si>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</si>
  <si>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</si>
  <si>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</si>
  <si>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</si>
  <si>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</si>
  <si>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</si>
  <si>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</si>
  <si>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Trgovina na malo telekomunikacijskom o...</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</si>
  <si>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</si>
  <si>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</si>
  <si>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</si>
  <si>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</si>
  <si>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</si>
  <si>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</si>
  <si>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</si>
  <si>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</si>
  <si>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</si>
  <si>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</si>
  <si>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</si>
  <si>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</si>
  <si>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</si>
  <si>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</si>
  <si>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</si>
  <si>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</si>
  <si>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</si>
  <si>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</si>
  <si>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</si>
  <si>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</si>
  <si>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</si>
  <si>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</si>
  <si>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</si>
  <si>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</si>
  <si>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</si>
  <si>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</si>
  <si>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</si>
  <si>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</si>
  <si>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</si>
  <si>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</si>
  <si>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</si>
  <si>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</si>
  <si>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</si>
  <si>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</si>
  <si>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</si>
  <si>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</si>
  <si>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</si>
  <si>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</si>
  <si>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</si>
  <si>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</si>
  <si>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</si>
  <si>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</si>
  <si>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</si>
  <si>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</si>
  <si>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</si>
  <si>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</si>
  <si>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</si>
  <si>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</si>
  <si>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</si>
  <si>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</si>
  <si>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</si>
  <si>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</si>
  <si>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</si>
  <si>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</si>
  <si>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</si>
  <si>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</si>
  <si>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</si>
  <si>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</si>
  <si>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</si>
  <si>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</si>
  <si>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</si>
  <si>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</si>
  <si>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</si>
  <si>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</si>
  <si>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POSL_AKT</t>
  </si>
  <si>
    <t>STAND</t>
  </si>
  <si>
    <t>4. Pripada manjinskom udjelu (nekontrolirajući udjel)</t>
  </si>
  <si>
    <t>5. Pripada vlasnicima matičnog društva</t>
  </si>
  <si>
    <t>IZVJEŠTAJ O OSTALOJ SVEOBUHVATNOJ DOBITI</t>
  </si>
  <si>
    <t>MSFI</t>
  </si>
  <si>
    <t>a) Troškovi plaća i naknada plaća (neto)</t>
  </si>
  <si>
    <t>b) Troškovi doprinosa, poreza, prireza iz plaća i naknada plaća</t>
  </si>
  <si>
    <t>c) Troškovi doprinosa na plaće i naknade plaća</t>
  </si>
  <si>
    <t>d) Troškovi naknada zaposlenicima</t>
  </si>
  <si>
    <t>13. Amortizacija</t>
  </si>
  <si>
    <t>14. Primici u naravi</t>
  </si>
  <si>
    <t>15. Naknade članovima uprave</t>
  </si>
  <si>
    <t>16. Troškovi osobnih automobila i drugih sredstava za osobni prijevoz</t>
  </si>
  <si>
    <t>17. Premije osiguranja (bruto)</t>
  </si>
  <si>
    <t>19. Izdaci za rad ostvaren preko studentskih i učeničkih servisa</t>
  </si>
  <si>
    <t>20. Stipendije</t>
  </si>
  <si>
    <t>21. Porezi koji ne ovise o dobitku i pristojbe</t>
  </si>
  <si>
    <t>22. Doprinosi i članarine iz prihoda</t>
  </si>
  <si>
    <t>23. Troškovi usluga investicijskog održavanja</t>
  </si>
  <si>
    <t xml:space="preserve">  1.1. Prihodi od kredita državnim jedinicama</t>
  </si>
  <si>
    <t xml:space="preserve">  1.2. Prihodi od kredita odobrenih financijskim institucijama</t>
  </si>
  <si>
    <t xml:space="preserve">  1.3. Prihodi od kredita odobrenih trgovačkim društvima</t>
  </si>
  <si>
    <t xml:space="preserve">  1.4. Prihodi od kredita odobrenih neprofitnim institucijama</t>
  </si>
  <si>
    <t xml:space="preserve">  1.5. Prihodi od kredita odobrenih stanovništvu </t>
  </si>
  <si>
    <t xml:space="preserve">  1.6. Prihodi od kredita odobrenih obrtnicima</t>
  </si>
  <si>
    <t xml:space="preserve">  1.7. Prihodi od kredita odobrenih stranim osobama</t>
  </si>
  <si>
    <t xml:space="preserve">  4. Ostali kamatni prihodi</t>
  </si>
  <si>
    <t xml:space="preserve">  9. Ostali kamatni troškovi</t>
  </si>
  <si>
    <t xml:space="preserve">  8.1. Kamatni troškovi na izdane vlastite dužničke vrijednosne papire</t>
  </si>
  <si>
    <t xml:space="preserve">  8.2. Kamatni troškovi na hibridne i podređene instrumente trgovačkih društava</t>
  </si>
  <si>
    <t xml:space="preserve">  8.3. Kamatni troškovi na hibridne i podređene instrumente financijskih institucija</t>
  </si>
  <si>
    <t xml:space="preserve">  8.6. Kamatni troškovi na hibridne i podređene instrumente stanovništva</t>
  </si>
  <si>
    <t xml:space="preserve">  8.5. Kamatni troškovi na hibridne i podređene instrumente stranih osoba</t>
  </si>
  <si>
    <t xml:space="preserve">  8.4. Kamatni troškovi na hibridne i podređene instrumente državnih jedinica</t>
  </si>
  <si>
    <t xml:space="preserve">  7.7. Troškovi na depozite primljene od stranih osoba</t>
  </si>
  <si>
    <t xml:space="preserve">  7.6. Troškovi na depozite primljene od obrtnika</t>
  </si>
  <si>
    <t xml:space="preserve">  7.5. Troškovi na depozite primljene od stanovništva</t>
  </si>
  <si>
    <t xml:space="preserve">  7.4. Troškovi na depozite primljene od neprofitnih institucija</t>
  </si>
  <si>
    <t xml:space="preserve">  7.3. Troškovi na depozite primljene od trgovačkih društava</t>
  </si>
  <si>
    <t xml:space="preserve">  7.2. Troškovi na depozite primljene od financijskih institucija</t>
  </si>
  <si>
    <t xml:space="preserve">  7.1. Troškovi na depozite primljene od državnih jedinica</t>
  </si>
  <si>
    <t xml:space="preserve">  6.1. Troškovi na kredite primljene od državnih jedinica</t>
  </si>
  <si>
    <t xml:space="preserve">  6.2. Troškovi na kredite primljene od financijskih institucija</t>
  </si>
  <si>
    <t xml:space="preserve">  6.3. Troškovi na kredite primljene od trgovačkih društava</t>
  </si>
  <si>
    <t xml:space="preserve">  6.4. Troškovi na kredite primljene od stranih osoba</t>
  </si>
  <si>
    <t xml:space="preserve">  3.1. Blagajnički zapisi HNB-a</t>
  </si>
  <si>
    <t xml:space="preserve">  3.2. Dužnički vrijednosni papiri trgovačkih društava</t>
  </si>
  <si>
    <t xml:space="preserve">  3.3. Dužnički vrijednosni papiri financijskih institucija</t>
  </si>
  <si>
    <t xml:space="preserve">  3.4. Dužnički vrijednosni papiri Republike Hrvatske</t>
  </si>
  <si>
    <t xml:space="preserve">  3.5. Dužnički vrijednosni papiri ostalih državnih jedinica</t>
  </si>
  <si>
    <t xml:space="preserve">  3.6. Dužnički vrijednosni papiri stranih osoba</t>
  </si>
  <si>
    <t xml:space="preserve">  2.1. Depoziti kod HNB-a</t>
  </si>
  <si>
    <t>Ispravljena kontrola na popunjenost Dodatnih podataka u tekućoj godini i ispravan prikaz kontrolnog broja u aplikaciji za učitavanje i Excel datoteci. Omogućeno da AOP 040 u Bilanci bude negativan. Kontrola 23 (Dobit / Gubitak razdoblja u Bilanci mora biti jednaka Dobiti/Gubitku razdoblja u Izvještaju o dobiti) isključena je za konsolidirane izvještaje, tj. kod konsolidiranih ne vrijedi.</t>
  </si>
  <si>
    <t>U Bilanci samo AOP oznake 037, 038, 040, 041 do 046  mogu biti negativne. Kontrola javlja pogrešku ako je bilo koja druga AOP oznaka osim ovih negativna.</t>
  </si>
  <si>
    <t>Dobit/gubitak tekuće godine u Bilanci (AOP 037) mora biti jednak Dobiti/gubitku nakon poreza na dobit u Računu dobiti i gubitka (AOP 070) za prethodnu i tekuću godinu uz dopušteno odstupanje od 1kn zbog zaokruživanja. Ova kontrola ne vrijedi kod konsolidiranog izvještaja.</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</si>
  <si>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</si>
  <si>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</si>
  <si>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</si>
  <si>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</si>
  <si>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</si>
  <si>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</si>
  <si>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</si>
  <si>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</si>
  <si>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</si>
  <si>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</si>
  <si>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</si>
  <si>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</si>
  <si>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</si>
  <si>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</si>
  <si>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</si>
  <si>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</si>
  <si>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</si>
  <si>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</si>
  <si>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</si>
  <si>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</si>
  <si>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</si>
  <si>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</si>
  <si>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</si>
  <si>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</si>
  <si>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</si>
  <si>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</si>
  <si>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</si>
  <si>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</si>
  <si>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</si>
  <si>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</si>
  <si>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</si>
  <si>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</si>
  <si>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</si>
  <si>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</si>
  <si>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</si>
  <si>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</si>
  <si>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</si>
  <si>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</si>
  <si>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</si>
  <si>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</si>
  <si>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</si>
  <si>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</si>
  <si>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</si>
  <si>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</si>
  <si>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</si>
  <si>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</si>
  <si>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</si>
  <si>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</si>
  <si>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</si>
  <si>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</si>
  <si>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</si>
  <si>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</si>
  <si>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</si>
  <si>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</si>
  <si>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</si>
  <si>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</si>
  <si>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</si>
  <si>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</si>
  <si>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</si>
  <si>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</si>
  <si>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</si>
  <si>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</si>
  <si>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</si>
  <si>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</si>
  <si>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</si>
  <si>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</si>
  <si>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</si>
  <si>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</si>
  <si>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</si>
  <si>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</si>
  <si>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</si>
  <si>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</si>
  <si>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</si>
  <si>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</si>
  <si>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2731</t>
  </si>
  <si>
    <t>Proizvodnja kablova od optičkih vlakana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</si>
  <si>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</si>
  <si>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</si>
  <si>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</si>
  <si>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</si>
  <si>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</si>
  <si>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</si>
  <si>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</si>
  <si>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</si>
  <si>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</si>
  <si>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</si>
  <si>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</si>
  <si>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</si>
  <si>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</si>
  <si>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</si>
  <si>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</si>
  <si>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</si>
  <si>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</si>
  <si>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</si>
  <si>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</si>
  <si>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</si>
  <si>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</si>
  <si>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</si>
  <si>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</si>
  <si>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</si>
  <si>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</si>
  <si>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</si>
  <si>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</si>
  <si>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</si>
  <si>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</si>
  <si>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</si>
  <si>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</si>
  <si>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</si>
  <si>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</si>
  <si>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</si>
  <si>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</si>
  <si>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</si>
  <si>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</si>
  <si>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</si>
  <si>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</si>
  <si>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</si>
  <si>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</si>
  <si>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</si>
  <si>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</si>
  <si>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</si>
  <si>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</si>
  <si>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</si>
  <si>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</si>
  <si>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</si>
  <si>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</si>
  <si>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</si>
  <si>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</si>
  <si>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</si>
  <si>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</si>
  <si>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</si>
  <si>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</si>
  <si>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</si>
  <si>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</si>
  <si>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</si>
  <si>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</si>
  <si>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</si>
  <si>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</si>
  <si>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</si>
  <si>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</si>
  <si>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</si>
  <si>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</si>
  <si>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</si>
  <si>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</si>
  <si>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</si>
  <si>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</si>
  <si>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</si>
  <si>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</si>
  <si>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</si>
  <si>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</si>
  <si>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</si>
  <si>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</si>
  <si>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</si>
  <si>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</si>
  <si>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</si>
  <si>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</si>
  <si>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</si>
  <si>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</si>
  <si>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</si>
  <si>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</si>
  <si>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</si>
  <si>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</si>
  <si>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</si>
  <si>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</si>
  <si>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</si>
  <si>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</si>
  <si>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</si>
  <si>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</si>
  <si>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</si>
  <si>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</si>
  <si>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</si>
  <si>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</si>
  <si>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</si>
  <si>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</si>
  <si>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</si>
  <si>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</si>
  <si>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</si>
  <si>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</si>
  <si>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</si>
  <si>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</si>
  <si>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</si>
  <si>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</si>
  <si>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</si>
  <si>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</si>
  <si>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</si>
  <si>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</si>
  <si>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</si>
  <si>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</si>
  <si>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</si>
  <si>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</si>
  <si>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</si>
  <si>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</si>
  <si>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</si>
  <si>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</si>
  <si>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</si>
  <si>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</si>
  <si>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</si>
  <si>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</si>
  <si>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</si>
  <si>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</si>
  <si>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</si>
  <si>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</si>
  <si>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</si>
  <si>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</si>
  <si>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</si>
  <si>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</si>
  <si>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</si>
  <si>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</si>
  <si>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</si>
  <si>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</si>
  <si>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</si>
  <si>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</si>
  <si>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</si>
  <si>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</si>
  <si>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</si>
  <si>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</si>
  <si>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</si>
  <si>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</si>
  <si>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</si>
  <si>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</si>
  <si>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</si>
  <si>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</si>
  <si>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</si>
  <si>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</si>
  <si>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</si>
  <si>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</si>
  <si>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</si>
  <si>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</si>
  <si>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</si>
  <si>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</si>
  <si>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</si>
  <si>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</si>
  <si>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</si>
  <si>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</si>
  <si>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</si>
  <si>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</si>
  <si>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</si>
  <si>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</si>
  <si>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</si>
  <si>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</si>
  <si>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</si>
  <si>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</si>
  <si>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</si>
  <si>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</si>
  <si>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</si>
  <si>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</si>
  <si>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</si>
  <si>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</si>
  <si>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</si>
  <si>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</si>
  <si>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</si>
  <si>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</si>
  <si>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</si>
  <si>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</si>
  <si>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</si>
  <si>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Proizvodnja osvježavajućih napitaka; p...</t>
  </si>
  <si>
    <t>Proizvodnja gotovih tekstilnih proizvo...</t>
  </si>
  <si>
    <t>Obrazac</t>
  </si>
  <si>
    <t>Prethodna</t>
  </si>
  <si>
    <t>Tekuća</t>
  </si>
  <si>
    <t>REV</t>
  </si>
  <si>
    <t>Vrijednost</t>
  </si>
  <si>
    <t>Opis koja polja kontrola provjerava i koji podatak treba popraviti ako kontrola javlja pogrešku</t>
  </si>
  <si>
    <t>Vrsta posla: 581</t>
  </si>
  <si>
    <r>
      <t xml:space="preserve">GODIŠNJI FINANCIJSKI IZVJEŠTAJ 
KREDITNIH INSTITUCIJA </t>
    </r>
    <r>
      <rPr>
        <b/>
        <sz val="11"/>
        <color indexed="56"/>
        <rFont val="Arial Rounded MT Bold"/>
        <family val="2"/>
      </rPr>
      <t xml:space="preserve">
(BANAKA, ŠTEDNIH BANAKA, STAMBENIH ŠTEDIONICA)</t>
    </r>
  </si>
  <si>
    <t>Imovina</t>
  </si>
  <si>
    <t>Obveze</t>
  </si>
  <si>
    <t>Kapital</t>
  </si>
  <si>
    <t>Proizvodnja strojeva za industriju pap...</t>
  </si>
  <si>
    <t>Proizvodnja ostalih strojeva za posebn...</t>
  </si>
  <si>
    <t>Proizvodnja karoserija za motorna vozi...</t>
  </si>
  <si>
    <t>Proizvodnja električne i elektroničke ...</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</si>
  <si>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</si>
  <si>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</si>
  <si>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</si>
  <si>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</si>
  <si>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</si>
  <si>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</si>
  <si>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</si>
  <si>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</si>
  <si>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</si>
  <si>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</si>
  <si>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</si>
  <si>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</si>
  <si>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</si>
  <si>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</si>
  <si>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</si>
  <si>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</si>
  <si>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</si>
  <si>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</si>
  <si>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</si>
  <si>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</si>
  <si>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</si>
  <si>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</si>
  <si>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</si>
  <si>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</si>
  <si>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</si>
  <si>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</si>
  <si>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</si>
  <si>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</si>
  <si>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</si>
  <si>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</si>
  <si>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</si>
  <si>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</si>
  <si>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</si>
  <si>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</si>
  <si>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</si>
  <si>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</si>
  <si>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</si>
  <si>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</si>
  <si>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</si>
  <si>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</si>
  <si>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</si>
  <si>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Pogreška signalizira da šifra djelatnosti nije upisana ili je upisana pogrešna (ili je upisana za vrstu subjekta koji je nema)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</si>
  <si>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</si>
  <si>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</si>
  <si>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</si>
  <si>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</si>
  <si>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</si>
  <si>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</si>
  <si>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</si>
  <si>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</si>
  <si>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</si>
  <si>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</si>
  <si>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</si>
  <si>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</si>
  <si>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</si>
  <si>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</si>
  <si>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</si>
  <si>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</si>
  <si>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</si>
  <si>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</si>
  <si>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</si>
  <si>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</si>
  <si>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</si>
  <si>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</si>
  <si>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</si>
  <si>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</si>
  <si>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</si>
  <si>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</si>
  <si>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</si>
  <si>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</si>
  <si>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</si>
  <si>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</si>
  <si>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</si>
  <si>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</si>
  <si>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</si>
  <si>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</si>
  <si>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</si>
  <si>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</si>
  <si>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</si>
  <si>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</si>
  <si>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</si>
  <si>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</si>
  <si>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</si>
  <si>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</si>
  <si>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</si>
  <si>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</si>
  <si>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</si>
  <si>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</si>
  <si>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</si>
  <si>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</si>
  <si>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</si>
  <si>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</si>
  <si>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</si>
  <si>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</si>
  <si>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</si>
  <si>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</si>
  <si>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 xml:space="preserve">      8.4. Premije na dionice</t>
  </si>
  <si>
    <t xml:space="preserve">      1.1. Naplaćena kamata i slični primici</t>
  </si>
  <si>
    <t xml:space="preserve">      1.2. Naplaćene naknade i provizije</t>
  </si>
  <si>
    <t xml:space="preserve">      1.3. Plaćena kamata i slični izdaci</t>
  </si>
  <si>
    <t xml:space="preserve">      1.4. Plaćene naknade i provizije</t>
  </si>
  <si>
    <t xml:space="preserve">      1.5. Plaćeni troškovi poslovanja</t>
  </si>
  <si>
    <t xml:space="preserve">      1.7. Ostali primici</t>
  </si>
  <si>
    <t xml:space="preserve">      1.8. Ostali izdaci</t>
  </si>
  <si>
    <t xml:space="preserve">      2.8. Ostala imovina</t>
  </si>
  <si>
    <t xml:space="preserve">      7.5. Ostali primici / plaćanja iz ulagačkih aktivnosti</t>
  </si>
  <si>
    <t>Povećanje/smanjenje poslovne imovine</t>
  </si>
  <si>
    <t xml:space="preserve">      8.1. Neto povećanje / smanjenje primljenih kredita</t>
  </si>
  <si>
    <t xml:space="preserve">      8.2. Neto povećanje / smanjenje izdanih dužničkih vrijednosnih papira</t>
  </si>
  <si>
    <t xml:space="preserve">      8.6. Ostali primici /plaćanja iz  financijskih aktivnosti</t>
  </si>
  <si>
    <t>Prethodna godina</t>
  </si>
  <si>
    <t>Tekuća godina</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</si>
  <si>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</si>
  <si>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</si>
  <si>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</si>
  <si>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</si>
  <si>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</si>
  <si>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</si>
  <si>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</si>
  <si>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</si>
  <si>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</si>
  <si>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</si>
  <si>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</si>
  <si>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NKD2007</t>
  </si>
  <si>
    <t>Odluka o raspodjeli dobiti ili pokriću gubitka</t>
  </si>
  <si>
    <t>Odluka o utvrđivanju godišnjeg financijskog izvještaja</t>
  </si>
  <si>
    <t>Popis dokumentacije</t>
  </si>
  <si>
    <t>ZAGREBAČKA</t>
  </si>
  <si>
    <t>2732</t>
  </si>
  <si>
    <t>2733</t>
  </si>
  <si>
    <t>0000</t>
  </si>
  <si>
    <t>IZNOS16</t>
  </si>
  <si>
    <t>Status autonomnosti:</t>
  </si>
  <si>
    <t>Šifra grada/općine:</t>
  </si>
  <si>
    <t>Matični broj nadređenog (matičnog) društva:</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</si>
  <si>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</si>
  <si>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</si>
  <si>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</si>
  <si>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</si>
  <si>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</si>
  <si>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</si>
  <si>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</si>
  <si>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</si>
  <si>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Pozicije ukupno aktiva (AOP 017) i ukupno pasiva (AOP 043) i moraju biti jednake uz dopušteno odstupanje od 1kn zbog zaokruživanja i veće od nule u svakoj godini u kojoj je poslovni subjekt poslovao, tj. gdje je broj mjeseci poslovanja veći od nule.</t>
  </si>
  <si>
    <t>AOP oznake 044 do 046 u Bilanci mogu biti popunjene samo u konsolidiranom financijskom izvještaju. Kontrola javlja pogrešku ako je neka od tih AOP oznaka popunjena, a izvještaj nije konsolidiran. Isto tako kontrola upozorava ako je izvještaj konsolidiran, a na ovim AOP pozicijama nije upisano ništa, što je moguće, ali nije uobičajeno. Ako kontrola javi pogrešku ili upozorenje provjerite upisane podatke.</t>
  </si>
  <si>
    <t>AOP oznake 072 do 074 u Računu dobiti i gubitka mogu biti popunjene samo u konsolidiranom financijskom izvještaju. Kontrola javlja pogrešku ako je neka od tih AOP oznaka popunjena, a izvještaj nije konsolidiran. Isto tako kontrola upozorava ako je izvještaj konsolidiran, a na ovim AOP pozicijama nije upisano ništa, što je moguće, ali nije uobičajeno. Ako kontrola javi pogrešku ili upozorenje provjerite upisane podatke.</t>
  </si>
  <si>
    <t>Ako je izvještaj konsolidiran, AOP oznaka 042 u Bilanci mora biti jednaka AOP oznaci 044. Kontrola javlja grešku ako te dvije oznake nisu jednake, a izvještaj je konsolidiran.</t>
  </si>
  <si>
    <t>Ako je izvještaj konsolidiran, AOP oznaka 070 u obrascu Račun dobiti i gubitka mora biti jednaka AOP oznaci 072. Kontrola javlja grešku ako te dvije oznake nisu jednake, a izvještaj je konsolidiran.</t>
  </si>
  <si>
    <t>Kontrola upozorava ako je broj zaposlenih u bilo kojem polju veći od 1000.</t>
  </si>
  <si>
    <t>Zbroj podataka na AOP oznakama 111,119,123 i 130 treba biti manji ili jednak AOP oznaci 047.</t>
  </si>
  <si>
    <t>DODATAK BILANCI (popunjavju banke koje sastavljaju konsolidirani godišnji financijski izvještaj)</t>
  </si>
  <si>
    <t xml:space="preserve">1. UKUPNO KAPITAL </t>
  </si>
  <si>
    <t xml:space="preserve">  1. Kamatni prihodi</t>
  </si>
  <si>
    <t xml:space="preserve">  2. Kamatni troškovi</t>
  </si>
  <si>
    <t xml:space="preserve">  4. Prihodi od provizija i naknada</t>
  </si>
  <si>
    <t xml:space="preserve">  5. Troškovi provizija i naknada</t>
  </si>
  <si>
    <t xml:space="preserve">  8. Dobit / gubitak od aktivnosti trgovanja</t>
  </si>
  <si>
    <t xml:space="preserve">  9. Dobit / gubitak od ugrađenih derivata</t>
  </si>
  <si>
    <t xml:space="preserve">11. Dobit / gubitak od aktivnosti u kategoriji imovine raspoložive za prodaju </t>
  </si>
  <si>
    <t xml:space="preserve">12. Dobit / gubitak od aktivnosti u kategoriji  imovine koja se drži do dospijeća </t>
  </si>
  <si>
    <t>13. Dobit / gubitak proizišao iz transakcija zaštite</t>
  </si>
  <si>
    <t>14. Prihodi od ulaganja u podružnice, pridružena društva i zajedničke pothvate</t>
  </si>
  <si>
    <t>15. Prihodi od ostalih vlasničkih ulaganja</t>
  </si>
  <si>
    <t>16. Dobit / gubitak od obračunatih tečajnih razlika</t>
  </si>
  <si>
    <t>17. Ostali prihodi</t>
  </si>
  <si>
    <t>18. Ostali troškovi</t>
  </si>
  <si>
    <t>19. Opći administrativni troškovi i amortizacija</t>
  </si>
  <si>
    <t>21. Troškovi vrijednosnih usklađivanja i rezerviranja za gubitke</t>
  </si>
  <si>
    <t>25. Zarada po dionici</t>
  </si>
  <si>
    <t>DODATAK RAČUNU DOBITI I GUBITKA (popunjavju banke koje sastavljaju konsolidirani godišnji financijski izvještaj)</t>
  </si>
  <si>
    <t xml:space="preserve">1. DOBIT / GUBITAK TEKUĆE GODINE </t>
  </si>
  <si>
    <t>2. Pripisana dioničarima matičnog društva</t>
  </si>
  <si>
    <t xml:space="preserve">2.1.1. Materijalna imovina </t>
  </si>
  <si>
    <t>2.1.2. Nematerijalna imovina</t>
  </si>
  <si>
    <t>2.1.4. Dugotrajna imovina i grupe za otuđenje namijenjene za prodaju</t>
  </si>
  <si>
    <t>Pogreška signalizira da šifra grada/općine nije upisana ili je pogrešno upisana</t>
  </si>
  <si>
    <t>Matični broj subjekta (MBS):</t>
  </si>
  <si>
    <t>Zemlja sjedišta nadređenog (matičnog) društva:</t>
  </si>
  <si>
    <r>
      <t xml:space="preserve">Evidencijski broj </t>
    </r>
    <r>
      <rPr>
        <sz val="7"/>
        <rFont val="Arial"/>
        <family val="2"/>
      </rPr>
      <t>(popunjava Registar)</t>
    </r>
  </si>
  <si>
    <t>OIB subjekta:</t>
  </si>
  <si>
    <t>(dodijeljen od DZS-a)</t>
  </si>
  <si>
    <t>(dodijeljen od nadležnog Trgovačkog suda)</t>
  </si>
  <si>
    <t xml:space="preserve"> . godinu</t>
  </si>
  <si>
    <t>Ovisno društvo sa maticom u RH</t>
  </si>
  <si>
    <t>Ovisno društvo sa maticom izvan RH</t>
  </si>
  <si>
    <t>Matično društvo pod kontrolom matice u RH</t>
  </si>
  <si>
    <t>Mikro poduzetnik</t>
  </si>
  <si>
    <t>Srednji poduzetnik</t>
  </si>
  <si>
    <t>Izvještaj je konsolidiran:</t>
  </si>
  <si>
    <t>Izvještaj je revidiran (DA/NE):</t>
  </si>
  <si>
    <t>OIB revizora:</t>
  </si>
  <si>
    <t>(DA/NE)</t>
  </si>
  <si>
    <t>Porijeklo kapitala (%):</t>
  </si>
  <si>
    <t>(domaći)</t>
  </si>
  <si>
    <t>(strani)</t>
  </si>
  <si>
    <t>Telefon za kontaktiranje:</t>
  </si>
  <si>
    <t>(Prezime i ime osobe ovlaštene za zastupanje)</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</si>
  <si>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</si>
  <si>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</si>
  <si>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</si>
  <si>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</si>
  <si>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</si>
  <si>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</si>
  <si>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</si>
  <si>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</si>
  <si>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</si>
  <si>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</si>
  <si>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</si>
  <si>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</si>
  <si>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</si>
  <si>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</si>
  <si>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</si>
  <si>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</si>
  <si>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</si>
  <si>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</si>
  <si>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</si>
  <si>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</si>
  <si>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</si>
  <si>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</si>
  <si>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</si>
  <si>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</si>
  <si>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</si>
  <si>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</si>
  <si>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</si>
  <si>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</si>
  <si>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</si>
  <si>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</si>
  <si>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</si>
  <si>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</si>
  <si>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</si>
  <si>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</si>
  <si>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</si>
  <si>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</si>
  <si>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</si>
  <si>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</si>
  <si>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</si>
  <si>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</si>
  <si>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</si>
  <si>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</si>
  <si>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</si>
  <si>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</si>
  <si>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</si>
  <si>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</si>
  <si>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</si>
  <si>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</si>
  <si>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</si>
  <si>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</si>
  <si>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</si>
  <si>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</si>
  <si>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</si>
  <si>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</si>
  <si>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</si>
  <si>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</si>
  <si>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</si>
  <si>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</si>
  <si>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</si>
  <si>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</si>
  <si>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</si>
  <si>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Upravljačke djelatnosti</t>
  </si>
  <si>
    <t>7021</t>
  </si>
  <si>
    <t>6831</t>
  </si>
  <si>
    <t>5621</t>
  </si>
  <si>
    <t>5912</t>
  </si>
  <si>
    <t>5913</t>
  </si>
  <si>
    <t>5914</t>
  </si>
  <si>
    <t>Djelatnosti prikazivanja filmova</t>
  </si>
  <si>
    <t>5920</t>
  </si>
  <si>
    <t>6010</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</si>
  <si>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</si>
  <si>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Izvještaj o novčanim tokovima</t>
  </si>
  <si>
    <t>IZVJEŠTAJ O NOVČANIM TOKOVIMA - Indirektna metoda</t>
  </si>
  <si>
    <t>IZVJEŠTAJ O NOVČANIM TOKOVIMA - Direktna metoda</t>
  </si>
  <si>
    <t>Povećanje/smanjenje poslovnih obveza</t>
  </si>
  <si>
    <t>DA</t>
  </si>
  <si>
    <t>Veliki poduzetnik (definirano Zakonom)</t>
  </si>
  <si>
    <t>Pogreška signalizira da Obveznost predaje nefinancijskog izvješća nije popunjena ili je pogrešno popunjena (u primjeni tek od 2017. godine)</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</si>
  <si>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</si>
  <si>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</si>
  <si>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</si>
  <si>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</si>
  <si>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</si>
  <si>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</si>
  <si>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</si>
  <si>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</si>
  <si>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</si>
  <si>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</si>
  <si>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</si>
  <si>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</si>
  <si>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</si>
  <si>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</si>
  <si>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</si>
  <si>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</si>
  <si>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</si>
  <si>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</si>
  <si>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</si>
  <si>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</si>
  <si>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</si>
  <si>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</si>
  <si>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</si>
  <si>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</si>
  <si>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</si>
  <si>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</si>
  <si>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</si>
  <si>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</si>
  <si>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</si>
  <si>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</si>
  <si>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</si>
  <si>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</si>
  <si>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</si>
  <si>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</si>
  <si>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</si>
  <si>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</si>
  <si>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</si>
  <si>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</si>
  <si>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</si>
  <si>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</si>
  <si>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</si>
  <si>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</si>
  <si>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</si>
  <si>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</si>
  <si>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</si>
  <si>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</si>
  <si>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</si>
  <si>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</si>
  <si>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</si>
  <si>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</si>
  <si>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</si>
  <si>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</si>
  <si>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</si>
  <si>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</si>
  <si>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</si>
  <si>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</si>
  <si>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</si>
  <si>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</si>
  <si>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</si>
  <si>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</si>
  <si>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</si>
  <si>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</si>
  <si>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ZASTUPNIK</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</si>
  <si>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</si>
  <si>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Primjena računovodstvenih standarda:</t>
  </si>
  <si>
    <t>(završni dan razdoblja je ujedno i datum stanja u Bilanci)</t>
  </si>
  <si>
    <t>PRIHOD_NULA</t>
  </si>
  <si>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</si>
  <si>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</si>
  <si>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</si>
  <si>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</si>
  <si>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</si>
  <si>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</si>
  <si>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</si>
  <si>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</si>
  <si>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</si>
  <si>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</si>
  <si>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</si>
  <si>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</si>
  <si>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</si>
  <si>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</si>
  <si>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</si>
  <si>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</si>
  <si>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</si>
  <si>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</si>
  <si>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</si>
  <si>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</si>
  <si>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</si>
  <si>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</si>
  <si>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Poslovne aktivnosti</t>
  </si>
  <si>
    <t xml:space="preserve">      2.1. Depoziti kod HNB-a</t>
  </si>
  <si>
    <t xml:space="preserve">      2.2. Trezorski zapisi MF-a i blagajnički zapisi HNB-a</t>
  </si>
  <si>
    <t>2363</t>
  </si>
  <si>
    <t>Matično društvo u grupi koje nema nadređeno društvo</t>
  </si>
  <si>
    <t>Neovisno društvo koje je bilo u sastavu grupe u dijelu razdoblja izvještavanja</t>
  </si>
  <si>
    <t>Autonomno (samostalno) društvo kroz cijelo razdoblje izvještavanja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</si>
  <si>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</si>
  <si>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Prevoditeljske djelatnosti i usluge tu...</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</si>
  <si>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</si>
  <si>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</si>
  <si>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</si>
  <si>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</si>
  <si>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</si>
  <si>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</si>
  <si>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</si>
  <si>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</si>
  <si>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</si>
  <si>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</si>
  <si>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</si>
  <si>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</si>
  <si>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</si>
  <si>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</si>
  <si>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</si>
  <si>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</si>
  <si>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</si>
  <si>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</si>
  <si>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</si>
  <si>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</si>
  <si>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</si>
  <si>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</si>
  <si>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</si>
  <si>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</si>
  <si>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</si>
  <si>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</si>
  <si>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</si>
  <si>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</si>
  <si>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</si>
  <si>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</si>
  <si>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</si>
  <si>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</si>
  <si>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</si>
  <si>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</si>
  <si>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</si>
  <si>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</si>
  <si>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</si>
  <si>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</si>
  <si>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</si>
  <si>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</si>
  <si>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</si>
  <si>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</si>
  <si>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</si>
  <si>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</si>
  <si>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</si>
  <si>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</si>
  <si>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</si>
  <si>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</si>
  <si>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Proizvodnja rafiniranih naftnih proizv...</t>
  </si>
  <si>
    <t>Proizvodnja ostalih anorganskih osnovn...</t>
  </si>
  <si>
    <t>Proizvodnja ostalih organskih osnovnih...</t>
  </si>
  <si>
    <t>Proizvodnja plastike u primarnim oblic...</t>
  </si>
  <si>
    <t>Proizvodnja sintetičkoga kaučuka u pri...</t>
  </si>
  <si>
    <t>Proizvodnja pesticida i drugih agrokem...</t>
  </si>
  <si>
    <t>Proizvodnja boja, lakova i sličnih pre...</t>
  </si>
  <si>
    <t>Proizvodnja sapuna i deterdženata, sre...</t>
  </si>
  <si>
    <t>Proizvodnja parfema i toaletno-kozmeti...</t>
  </si>
  <si>
    <t>Iznajmljivanje i davanje u zakup (lea­...</t>
  </si>
  <si>
    <t>Davanje u zakup (leasing) prava na upo...</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</si>
  <si>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</si>
  <si>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</si>
  <si>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</si>
  <si>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</si>
  <si>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</si>
  <si>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</si>
  <si>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</si>
  <si>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</si>
  <si>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</si>
  <si>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</si>
  <si>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</si>
  <si>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adresa e-pošte obveznika nije popunjena ili je pogrešno popunjena, tj. sadrži razmak ili neki specijalni znak koji adresa e-pošte ne bi smjela sadržavati.</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</si>
  <si>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</si>
  <si>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</si>
  <si>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</si>
  <si>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</si>
  <si>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Garčin</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</si>
  <si>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</si>
  <si>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</si>
  <si>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</si>
  <si>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</si>
  <si>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</si>
  <si>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</si>
  <si>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</si>
  <si>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</si>
  <si>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</si>
  <si>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</si>
  <si>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</si>
  <si>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</si>
  <si>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</si>
  <si>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</si>
  <si>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</si>
  <si>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</si>
  <si>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</si>
  <si>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</si>
  <si>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</si>
  <si>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</si>
  <si>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</si>
  <si>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</si>
  <si>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</si>
  <si>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</si>
  <si>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</si>
  <si>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</si>
  <si>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</si>
  <si>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</si>
  <si>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</si>
  <si>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6810</t>
  </si>
  <si>
    <t>Kupnja i prodaja vlastitih nekretnina</t>
  </si>
  <si>
    <t>6820</t>
  </si>
  <si>
    <t>1811</t>
  </si>
  <si>
    <t>Matulji</t>
  </si>
  <si>
    <t>Sveti Martin na Muri</t>
  </si>
  <si>
    <t>Donji Kukuruzari</t>
  </si>
  <si>
    <t>Medulin</t>
  </si>
  <si>
    <t>Sveti Petar Orehovec</t>
  </si>
  <si>
    <t>Donji Lapac</t>
  </si>
  <si>
    <t>(matični broj servisa dodijeljen od DZS-a)</t>
  </si>
  <si>
    <t>Valpovo</t>
  </si>
  <si>
    <t>Galovac</t>
  </si>
  <si>
    <t>Okrug</t>
  </si>
  <si>
    <t>Varaždin</t>
  </si>
  <si>
    <t>Mješovita proizvodnja</t>
  </si>
  <si>
    <t>0161</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</si>
  <si>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</si>
  <si>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</si>
  <si>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</si>
  <si>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</si>
  <si>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</si>
  <si>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</si>
  <si>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</si>
  <si>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</si>
  <si>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</si>
  <si>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</si>
  <si>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</si>
  <si>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</si>
  <si>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</si>
  <si>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</si>
  <si>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</si>
  <si>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</si>
  <si>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</si>
  <si>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</si>
  <si>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</si>
  <si>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</si>
  <si>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ZAP_SATPR</t>
  </si>
  <si>
    <t>ZAP_SATTK</t>
  </si>
  <si>
    <t>ZAP_STPR</t>
  </si>
  <si>
    <t>ZAP_STTK</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</si>
  <si>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</si>
  <si>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</si>
  <si>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</si>
  <si>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</si>
  <si>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</si>
  <si>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</si>
  <si>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</si>
  <si>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</si>
  <si>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</si>
  <si>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</si>
  <si>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</si>
  <si>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</si>
  <si>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</si>
  <si>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</si>
  <si>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</si>
  <si>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</si>
  <si>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</si>
  <si>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</si>
  <si>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</si>
  <si>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</si>
  <si>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</si>
  <si>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</si>
  <si>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Revizorsko izvješće je obavezno kod predaje javne objave s vrstom izvještaja 10 ili 11, a opcionalno je moguće i uz vrstu izvještaja 20 i 30. Kod predaje za statističke potrebe ne predaje se revizorsko izvješće. Kontrola javlja pogrešku ako nije označeno da je izvještaj revidiran (a treba biti jer je predaja u svrhu javne objave). Isto tako, kontrola će javiti pogrešku ako je predaja u statističke svrhe, a označeno je da je izvještaj revidiran.</t>
  </si>
  <si>
    <t>Novi Vinodolski</t>
  </si>
  <si>
    <t>Trogir</t>
  </si>
  <si>
    <t>Popravak elektroničke i optičke opreme</t>
  </si>
  <si>
    <t>3314</t>
  </si>
  <si>
    <t>Osnovno čišćenje zgrada</t>
  </si>
  <si>
    <t>8122</t>
  </si>
  <si>
    <t>8129</t>
  </si>
  <si>
    <t>Ostale djelatnosti čišćenja</t>
  </si>
  <si>
    <t>8130</t>
  </si>
  <si>
    <t>8211</t>
  </si>
  <si>
    <t>Biljeske</t>
  </si>
  <si>
    <t>GodIzvj</t>
  </si>
  <si>
    <t>OdlukaRasp</t>
  </si>
  <si>
    <t>Odluka_Utvr</t>
  </si>
  <si>
    <t>Obveza predaje nefinancijskog izvješća u primjeni tek za 2017. godinu</t>
  </si>
  <si>
    <t>U Dodatnim podacima samo AOP oznake 138 i 163 mogu biti negativne. Ako se pojavio negativan iznos na nekoj drugoj AOP oznaci dodatnih podataka, obrazac je pogrešan.</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</si>
  <si>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</si>
  <si>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</si>
  <si>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</si>
  <si>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</si>
  <si>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</si>
  <si>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</si>
  <si>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</si>
  <si>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</si>
  <si>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</si>
  <si>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</si>
  <si>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</si>
  <si>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</si>
  <si>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</si>
  <si>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</si>
  <si>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</si>
  <si>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</si>
  <si>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</si>
  <si>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</si>
  <si>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</si>
  <si>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</si>
  <si>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</si>
  <si>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</si>
  <si>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</si>
  <si>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</si>
  <si>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</si>
  <si>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</si>
  <si>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</si>
  <si>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</si>
  <si>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</si>
  <si>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</si>
  <si>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</si>
  <si>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</si>
  <si>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</si>
  <si>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Garešnica</t>
  </si>
  <si>
    <t>Omiš</t>
  </si>
  <si>
    <t>Vela Luka</t>
  </si>
  <si>
    <t>Generalski Stol</t>
  </si>
  <si>
    <t>Omišalj</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</si>
  <si>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</si>
  <si>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</si>
  <si>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</si>
  <si>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</si>
  <si>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</si>
  <si>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</si>
  <si>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t>RDG</t>
  </si>
  <si>
    <t>PK</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</si>
  <si>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</si>
  <si>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</si>
  <si>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</si>
  <si>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</si>
  <si>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</si>
  <si>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</si>
  <si>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</si>
  <si>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</si>
  <si>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</si>
  <si>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</si>
  <si>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</si>
  <si>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</si>
  <si>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</si>
  <si>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</si>
  <si>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</si>
  <si>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</si>
  <si>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</si>
  <si>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</si>
  <si>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</si>
  <si>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</si>
  <si>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</si>
  <si>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</si>
  <si>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</si>
  <si>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</si>
  <si>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</si>
  <si>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</si>
  <si>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</si>
  <si>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</si>
  <si>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</si>
  <si>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</si>
  <si>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</si>
  <si>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</si>
  <si>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</si>
  <si>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</si>
  <si>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</si>
  <si>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</si>
  <si>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</si>
  <si>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</si>
  <si>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</si>
  <si>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</si>
  <si>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</si>
  <si>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</si>
  <si>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</si>
  <si>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</si>
  <si>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</si>
  <si>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</si>
  <si>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</si>
  <si>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</si>
  <si>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</si>
  <si>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</si>
  <si>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</si>
  <si>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</si>
  <si>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</si>
  <si>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</si>
  <si>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</si>
  <si>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</si>
  <si>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</si>
  <si>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</si>
  <si>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</si>
  <si>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</si>
  <si>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</si>
  <si>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</si>
  <si>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</si>
  <si>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</si>
  <si>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</si>
  <si>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Broj pogrešaka:</t>
  </si>
  <si>
    <t>Broj upozorenja:</t>
  </si>
  <si>
    <t>GR</t>
  </si>
  <si>
    <t>UPO</t>
  </si>
  <si>
    <t>Petrovsko</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</si>
  <si>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</si>
  <si>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</si>
  <si>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</si>
  <si>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</si>
  <si>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</si>
  <si>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</si>
  <si>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</si>
  <si>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</si>
  <si>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</si>
  <si>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</si>
  <si>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</si>
  <si>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</si>
  <si>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</si>
  <si>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</si>
  <si>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</si>
  <si>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</si>
  <si>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</si>
  <si>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</si>
  <si>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</si>
  <si>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</si>
  <si>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</si>
  <si>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</si>
  <si>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</si>
  <si>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</si>
  <si>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</si>
  <si>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</si>
  <si>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</si>
  <si>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</si>
  <si>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</si>
  <si>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</si>
  <si>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</si>
  <si>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</si>
  <si>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</si>
  <si>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</si>
  <si>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</si>
  <si>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</si>
  <si>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</si>
  <si>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</si>
  <si>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</si>
  <si>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</si>
  <si>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</si>
  <si>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</si>
  <si>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</si>
  <si>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</si>
  <si>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</si>
  <si>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</si>
  <si>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</si>
  <si>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</si>
  <si>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</si>
  <si>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</si>
  <si>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</si>
  <si>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</si>
  <si>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</si>
  <si>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</si>
  <si>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</si>
  <si>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</si>
  <si>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</si>
  <si>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</si>
  <si>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</si>
  <si>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</si>
  <si>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4724</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</si>
  <si>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</si>
  <si>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</si>
  <si>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</si>
  <si>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</si>
  <si>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</si>
  <si>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</si>
  <si>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</si>
  <si>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</si>
  <si>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</si>
  <si>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</si>
  <si>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</si>
  <si>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</si>
  <si>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</si>
  <si>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</si>
  <si>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</si>
  <si>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</si>
  <si>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Đurđevac</t>
  </si>
  <si>
    <t>Djelatnosti mljekara i proizvođača sira</t>
  </si>
  <si>
    <t>1052</t>
  </si>
  <si>
    <t>Proizvodnja sladoleda</t>
  </si>
  <si>
    <t>1061</t>
  </si>
  <si>
    <t>Proizvodnja mlinskih proizvoda</t>
  </si>
  <si>
    <t>1062</t>
  </si>
  <si>
    <t>KTR_BROJ</t>
  </si>
  <si>
    <t>1102</t>
  </si>
  <si>
    <t>10</t>
  </si>
  <si>
    <t>11 (4 do 10)</t>
  </si>
  <si>
    <t>ZAPSATI</t>
  </si>
  <si>
    <t>ZAPSTANJE</t>
  </si>
  <si>
    <t>Od 2016. godine Kreditne institucije (banke,štedne banke, stambene štedionice) popunjavaju obrasce sukladno Odluci o strukturi i sadržaju godišnjih financijskih izvještaj kreditnih institucija  (NN 30/17).
Upute o načinu popunjavanja pojedinih AOP pozicija, upute za rad s Excel datotekom, šifarnici i sve ostalo vezano uz izvještaje i način popunjavanja dano je u posebnom dokumentu koji se može preuzeti sa stranica Fine.</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</si>
  <si>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</si>
  <si>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</si>
  <si>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</si>
  <si>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</si>
  <si>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</si>
  <si>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</si>
  <si>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</si>
  <si>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</si>
  <si>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</si>
  <si>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</si>
  <si>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</si>
  <si>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</si>
  <si>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</si>
  <si>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</si>
  <si>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</si>
  <si>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</si>
  <si>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</si>
  <si>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</si>
  <si>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</si>
  <si>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</si>
  <si>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</si>
  <si>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</si>
  <si>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</si>
  <si>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</si>
  <si>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</si>
  <si>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</si>
  <si>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</si>
  <si>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</si>
  <si>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</si>
  <si>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</si>
  <si>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</si>
  <si>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</si>
  <si>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</si>
  <si>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</si>
  <si>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</si>
  <si>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</si>
  <si>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</si>
  <si>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</si>
  <si>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</si>
  <si>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</si>
  <si>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</si>
  <si>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</si>
  <si>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</si>
  <si>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</si>
  <si>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</si>
  <si>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</si>
  <si>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</si>
  <si>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</si>
  <si>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</si>
  <si>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</si>
  <si>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</si>
  <si>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</si>
  <si>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</si>
  <si>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Obrazac
BAN-RDG</t>
  </si>
  <si>
    <t>Obrazac
BAN-BIL</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</si>
  <si>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</si>
  <si>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</si>
  <si>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</si>
  <si>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</si>
  <si>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</si>
  <si>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</si>
  <si>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</si>
  <si>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</si>
  <si>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</si>
  <si>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</si>
  <si>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</si>
  <si>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</si>
  <si>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</si>
  <si>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</si>
  <si>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</si>
  <si>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</si>
  <si>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</si>
  <si>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</si>
  <si>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</si>
  <si>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</si>
  <si>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</si>
  <si>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</si>
  <si>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</si>
  <si>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</si>
  <si>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</si>
  <si>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</si>
  <si>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</si>
  <si>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</si>
  <si>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</si>
  <si>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</si>
  <si>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</si>
  <si>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</si>
  <si>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</si>
  <si>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</si>
  <si>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</si>
  <si>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obavezno upisuje "NE".</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</si>
  <si>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</si>
  <si>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</si>
  <si>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</si>
  <si>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</si>
  <si>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</si>
  <si>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</si>
  <si>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</si>
  <si>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</si>
  <si>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</si>
  <si>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</si>
  <si>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</si>
  <si>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</si>
  <si>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</si>
  <si>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</si>
  <si>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</si>
  <si>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</si>
  <si>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</si>
  <si>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</si>
  <si>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</si>
  <si>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</si>
  <si>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</si>
  <si>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</si>
  <si>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</si>
  <si>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</si>
  <si>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</si>
  <si>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</si>
  <si>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</si>
  <si>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</si>
  <si>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</si>
  <si>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</si>
  <si>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</si>
  <si>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Selnica</t>
  </si>
  <si>
    <t>Bosiljevo</t>
  </si>
  <si>
    <t>Krnjak</t>
  </si>
  <si>
    <t>Semeljci</t>
  </si>
  <si>
    <t>Bošnjaci</t>
  </si>
  <si>
    <t>Kršan</t>
  </si>
  <si>
    <t>Senj</t>
  </si>
  <si>
    <t xml:space="preserve">      2.4. Krediti ostalim komitentima</t>
  </si>
  <si>
    <t xml:space="preserve">      2.6. Vrijednosni papiri i drugi financijski instrumenti raspoloživi za prodaju</t>
  </si>
  <si>
    <t xml:space="preserve">      3.1. Depoziti po viđenju</t>
  </si>
  <si>
    <t xml:space="preserve">      3.2. Štedni i oročeni depoziti</t>
  </si>
  <si>
    <t xml:space="preserve">      3.4. Ostale obveze</t>
  </si>
  <si>
    <t xml:space="preserve">  5. Plaćeni porez na dobit</t>
  </si>
  <si>
    <t xml:space="preserve">      7.4. Primljene dividende</t>
  </si>
  <si>
    <t xml:space="preserve">      7.5. Ostali primici / plaćanja/ iz ulagačkih aktivnosti</t>
  </si>
  <si>
    <t xml:space="preserve">      8.1. Neto povećanje / smanjenje/  primljenih kredita</t>
  </si>
  <si>
    <t xml:space="preserve">      8.2. Neto povećanje / smanjenje/ izdanih dužničkih vrijednosnih papira</t>
  </si>
  <si>
    <t xml:space="preserve">      8.5. Isplaćena dividenda</t>
  </si>
  <si>
    <t xml:space="preserve">      8.6. Ostali primici / plaćanja iz financijskih aktivnosti</t>
  </si>
  <si>
    <t>Ulagačke aktivnosti</t>
  </si>
  <si>
    <t>Financijske aktivnosti</t>
  </si>
  <si>
    <t>10. Učinci promjene tečaja stranih valuta na gotovinu i ekvivalente gotovine</t>
  </si>
  <si>
    <t xml:space="preserve">12. Gotovina i ekvivalenti gotovine na početku godine </t>
  </si>
  <si>
    <t xml:space="preserve">      3.3. Izvedene financijske obveze i ostale obveze kojima se trguje</t>
  </si>
  <si>
    <t>Poduzetnik je obveznik predaje nefinancijskog izvješća - predaje ga kao prilog izvješću poslovodstva</t>
  </si>
  <si>
    <t>9103</t>
  </si>
  <si>
    <t>9200</t>
  </si>
  <si>
    <t>1089</t>
  </si>
  <si>
    <t>Djelatnosti keteringa</t>
  </si>
  <si>
    <t>5629</t>
  </si>
  <si>
    <t>Račun dobiti i gubitka</t>
  </si>
  <si>
    <t>4329</t>
  </si>
  <si>
    <t>Ostali građevinski instalacijski radovi</t>
  </si>
  <si>
    <t>4331</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</si>
  <si>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</si>
  <si>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</si>
  <si>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</si>
  <si>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</si>
  <si>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</si>
  <si>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</si>
  <si>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</si>
  <si>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</si>
  <si>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</si>
  <si>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</si>
  <si>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</si>
  <si>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</si>
  <si>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</si>
  <si>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</si>
  <si>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</si>
  <si>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</si>
  <si>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</si>
  <si>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</si>
  <si>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</si>
  <si>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</si>
  <si>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</si>
  <si>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</si>
  <si>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</si>
  <si>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</si>
  <si>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</si>
  <si>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</si>
  <si>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</si>
  <si>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</si>
  <si>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</si>
  <si>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</si>
  <si>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</si>
  <si>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</si>
  <si>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</si>
  <si>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</si>
  <si>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</si>
  <si>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</si>
  <si>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</si>
  <si>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</si>
  <si>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</si>
  <si>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</si>
  <si>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</si>
  <si>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</si>
  <si>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</si>
  <si>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</si>
  <si>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</si>
  <si>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</si>
  <si>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</si>
  <si>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</si>
  <si>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</si>
  <si>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</si>
  <si>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</si>
  <si>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</si>
  <si>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</si>
  <si>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</si>
  <si>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</si>
  <si>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</si>
  <si>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</si>
  <si>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</si>
  <si>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</si>
  <si>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</si>
  <si>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</si>
  <si>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</si>
  <si>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</si>
  <si>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</si>
  <si>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</si>
  <si>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</si>
  <si>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</si>
  <si>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</si>
  <si>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</si>
  <si>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</si>
  <si>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</si>
  <si>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</si>
  <si>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</si>
  <si>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</si>
  <si>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</si>
  <si>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</si>
  <si>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</si>
  <si>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</si>
  <si>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</si>
  <si>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Kontrole popunjenosti podataka i primjene poslovnih pravila - moraju biti zadovoljene</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</si>
  <si>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</si>
  <si>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</si>
  <si>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</si>
  <si>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</si>
  <si>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</si>
  <si>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</si>
  <si>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</si>
  <si>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</si>
  <si>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</si>
  <si>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</si>
  <si>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</si>
  <si>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</si>
  <si>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</si>
  <si>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</si>
  <si>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</si>
  <si>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</si>
  <si>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</si>
  <si>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</si>
  <si>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</si>
  <si>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</si>
  <si>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</si>
  <si>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</si>
  <si>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</si>
  <si>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</si>
  <si>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</si>
  <si>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</si>
  <si>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</si>
  <si>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</si>
  <si>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</si>
  <si>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</si>
  <si>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</si>
  <si>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</si>
  <si>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</si>
  <si>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</si>
  <si>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</si>
  <si>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</si>
  <si>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</si>
  <si>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</si>
  <si>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</si>
  <si>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</si>
  <si>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</si>
  <si>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</si>
  <si>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</si>
  <si>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</si>
  <si>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</si>
  <si>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</si>
  <si>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</si>
  <si>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</si>
  <si>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</si>
  <si>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</si>
  <si>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</si>
  <si>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</si>
  <si>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</si>
  <si>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</si>
  <si>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</si>
  <si>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</si>
  <si>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</si>
  <si>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</si>
  <si>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</si>
  <si>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</si>
  <si>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</si>
  <si>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</si>
  <si>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</si>
  <si>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</si>
  <si>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</si>
  <si>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</si>
  <si>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</si>
  <si>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</si>
  <si>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</si>
  <si>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</si>
  <si>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</si>
  <si>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</si>
  <si>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</si>
  <si>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</si>
  <si>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</si>
  <si>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</si>
  <si>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</si>
  <si>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</si>
  <si>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</si>
  <si>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</si>
  <si>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</si>
  <si>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</si>
  <si>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</si>
  <si>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</si>
  <si>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</si>
  <si>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</si>
  <si>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</si>
  <si>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</si>
  <si>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</si>
  <si>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</si>
  <si>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</si>
  <si>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</si>
  <si>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</si>
  <si>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</si>
  <si>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</si>
  <si>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</si>
  <si>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(prethodne godina)</t>
  </si>
  <si>
    <t>(tekuće godina)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</si>
  <si>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</si>
  <si>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</si>
  <si>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</si>
  <si>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</si>
  <si>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</si>
  <si>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</si>
  <si>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</si>
  <si>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</si>
  <si>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0</t>
  </si>
  <si>
    <t>DatOd</t>
  </si>
  <si>
    <t>DatDo</t>
  </si>
  <si>
    <t>VI</t>
  </si>
  <si>
    <t>Naz</t>
  </si>
  <si>
    <t>Posta</t>
  </si>
  <si>
    <t>MJ</t>
  </si>
  <si>
    <t>ADR</t>
  </si>
  <si>
    <t>OPC</t>
  </si>
  <si>
    <t>Kons</t>
  </si>
  <si>
    <t>Vodnjan</t>
  </si>
  <si>
    <t>Hrvatska Kostajnica</t>
  </si>
  <si>
    <t>Pićan</t>
  </si>
  <si>
    <t>Punat</t>
  </si>
  <si>
    <t>Barban</t>
  </si>
  <si>
    <t>Klis</t>
  </si>
  <si>
    <t>U Računu dobiti i gubitka samo AOP oznake 048, 049, 051 do 059, 062, 064 do 070, 072 do 110 mogu biti negativne. Kontrola javlja pogrešku ako je bilo koja druga AOP oznaka negativna.</t>
  </si>
  <si>
    <t>Zbroj podataka na AOP oznakama 178,179,181,182 i 183 treba biti manji ili jednak od apsolutne vrijednosti AOP oznake 065.</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</si>
  <si>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</si>
  <si>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</si>
  <si>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</si>
  <si>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</si>
  <si>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</si>
  <si>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</si>
  <si>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</si>
  <si>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</si>
  <si>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</si>
  <si>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</si>
  <si>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</si>
  <si>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</si>
  <si>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</si>
  <si>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</si>
  <si>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</si>
  <si>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</si>
  <si>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</si>
  <si>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</si>
  <si>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</si>
  <si>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</si>
  <si>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</si>
  <si>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</si>
  <si>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</si>
  <si>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</si>
  <si>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</si>
  <si>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</si>
  <si>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</si>
  <si>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</si>
  <si>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</si>
  <si>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</si>
  <si>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</si>
  <si>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</si>
  <si>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</si>
  <si>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</si>
  <si>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</si>
  <si>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</si>
  <si>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</si>
  <si>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</si>
  <si>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</si>
  <si>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</si>
  <si>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</si>
  <si>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</si>
  <si>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</si>
  <si>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</si>
  <si>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</si>
  <si>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</si>
  <si>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</si>
  <si>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</si>
  <si>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</si>
  <si>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</si>
  <si>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</si>
  <si>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</si>
  <si>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</si>
  <si>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</si>
  <si>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</si>
  <si>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</si>
  <si>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</si>
  <si>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</si>
  <si>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</si>
  <si>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</si>
  <si>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</si>
  <si>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</si>
  <si>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</si>
  <si>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</si>
  <si>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</si>
  <si>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</si>
  <si>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</si>
  <si>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</si>
  <si>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</si>
  <si>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</si>
  <si>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</si>
  <si>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</si>
  <si>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</si>
  <si>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</si>
  <si>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</si>
  <si>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</si>
  <si>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</si>
  <si>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</si>
  <si>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</si>
  <si>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</si>
  <si>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</si>
  <si>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</si>
  <si>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</si>
  <si>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</si>
  <si>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</si>
  <si>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</si>
  <si>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</si>
  <si>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</si>
  <si>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</si>
  <si>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</si>
  <si>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</si>
  <si>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</si>
  <si>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</si>
  <si>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</si>
  <si>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</si>
  <si>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</si>
  <si>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</si>
  <si>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</si>
  <si>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</si>
  <si>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</si>
  <si>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</si>
  <si>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</si>
  <si>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</si>
  <si>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</si>
  <si>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</si>
  <si>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</si>
  <si>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</si>
  <si>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</si>
  <si>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</si>
  <si>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</si>
  <si>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</si>
  <si>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</si>
  <si>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</si>
  <si>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</si>
  <si>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</si>
  <si>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</si>
  <si>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</si>
  <si>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</si>
  <si>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</si>
  <si>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</si>
  <si>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</si>
  <si>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</si>
  <si>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2.1.6. Porez na dobit koji se odnosi na stavke koje neće biti reklasificirane</t>
  </si>
  <si>
    <r>
      <t xml:space="preserve">  1. Kamatni prihodi od odobrenih kredita </t>
    </r>
    <r>
      <rPr>
        <sz val="8"/>
        <rFont val="Arial"/>
        <family val="2"/>
      </rPr>
      <t>(AOP 112 do 118)</t>
    </r>
  </si>
  <si>
    <r>
      <t xml:space="preserve">  2. Kamatni prihodi od depozita </t>
    </r>
    <r>
      <rPr>
        <sz val="8"/>
        <rFont val="Arial"/>
        <family val="2"/>
      </rPr>
      <t>(AOP 120 do 122)</t>
    </r>
  </si>
  <si>
    <r>
      <t xml:space="preserve">  3. Kamatni prihodi od dužničkih vrijednosnih papira </t>
    </r>
    <r>
      <rPr>
        <sz val="8"/>
        <rFont val="Arial"/>
        <family val="2"/>
      </rPr>
      <t>(AOP 124 do 129)</t>
    </r>
  </si>
  <si>
    <r>
      <t xml:space="preserve">  5. Prihodi od provizija i naknada za usluge platnog prometa i ostale bankovne usluge
       </t>
    </r>
    <r>
      <rPr>
        <sz val="8"/>
        <rFont val="Arial"/>
        <family val="2"/>
      </rPr>
      <t>(AOP 132 do 138)</t>
    </r>
  </si>
  <si>
    <r>
      <t xml:space="preserve">  6. Kamatni troškovi s osnove primljenih kredita </t>
    </r>
    <r>
      <rPr>
        <sz val="8"/>
        <rFont val="Arial"/>
        <family val="2"/>
      </rPr>
      <t>(AOP 140 do 143)</t>
    </r>
  </si>
  <si>
    <r>
      <t xml:space="preserve">  7. Kamatni troškovi s osnove depozita </t>
    </r>
    <r>
      <rPr>
        <sz val="8"/>
        <rFont val="Arial"/>
        <family val="2"/>
      </rPr>
      <t>(AOP 145 do 151)</t>
    </r>
  </si>
  <si>
    <r>
      <t xml:space="preserve">  8. Kamatni troškovi na dužničke vrijednosne papire </t>
    </r>
    <r>
      <rPr>
        <sz val="8"/>
        <rFont val="Arial"/>
        <family val="2"/>
      </rPr>
      <t>(AOP 153 do 158)</t>
    </r>
  </si>
  <si>
    <r>
      <t xml:space="preserve">10. Troškovi provizija i naknada </t>
    </r>
    <r>
      <rPr>
        <sz val="8"/>
        <rFont val="Arial"/>
        <family val="2"/>
      </rPr>
      <t>(AOP 161 do 163)</t>
    </r>
  </si>
  <si>
    <r>
      <t xml:space="preserve">11. Ostali operativni troškovi </t>
    </r>
    <r>
      <rPr>
        <sz val="8"/>
        <rFont val="Arial"/>
        <family val="2"/>
      </rPr>
      <t>(AOP 165 + 166)</t>
    </r>
  </si>
  <si>
    <r>
      <t xml:space="preserve">12. Opći administrativni troškovi </t>
    </r>
    <r>
      <rPr>
        <sz val="8"/>
        <rFont val="Arial"/>
        <family val="2"/>
      </rPr>
      <t>(AOP 168+173+174)</t>
    </r>
  </si>
  <si>
    <r>
      <t xml:space="preserve">  12.1. Troškovi za zaposlenike </t>
    </r>
    <r>
      <rPr>
        <sz val="8"/>
        <rFont val="Arial"/>
        <family val="2"/>
      </rPr>
      <t>(AOP 169 do 172)</t>
    </r>
  </si>
  <si>
    <t xml:space="preserve">       1.5. Dobit/gubitak od prodaje materijalne imovine</t>
  </si>
  <si>
    <t xml:space="preserve">       1.6. Ostali dobici / gubici </t>
  </si>
  <si>
    <t xml:space="preserve">      2.3. Depoziti kod financijskih institucija i krediti financijskim institucijama</t>
  </si>
  <si>
    <t xml:space="preserve">      7.1. Primici od prodaje / plaćanja za kupnju/ materijalne i nematerijalne 
              imovine</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</si>
  <si>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</si>
  <si>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</si>
  <si>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</si>
  <si>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</si>
  <si>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</si>
  <si>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</si>
  <si>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</si>
  <si>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</si>
  <si>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</si>
  <si>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</si>
  <si>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</si>
  <si>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</si>
  <si>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</si>
  <si>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</si>
  <si>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</si>
  <si>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</si>
  <si>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</si>
  <si>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</si>
  <si>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</si>
  <si>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</si>
  <si>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</si>
  <si>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</si>
  <si>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</si>
  <si>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</si>
  <si>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</si>
  <si>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</si>
  <si>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</si>
  <si>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</si>
  <si>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</si>
  <si>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</si>
  <si>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</si>
  <si>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</si>
  <si>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</si>
  <si>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</si>
  <si>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</si>
  <si>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</si>
  <si>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</si>
  <si>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</si>
  <si>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</si>
  <si>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</si>
  <si>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</si>
  <si>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</si>
  <si>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</si>
  <si>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</si>
  <si>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</si>
  <si>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</si>
  <si>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</si>
  <si>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</si>
  <si>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</si>
  <si>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</si>
  <si>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</si>
  <si>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</si>
  <si>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</si>
  <si>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</si>
  <si>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</si>
  <si>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</si>
  <si>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</si>
  <si>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</si>
  <si>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</si>
  <si>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</si>
  <si>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</si>
  <si>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</si>
  <si>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</si>
  <si>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</si>
  <si>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</si>
  <si>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</si>
  <si>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</si>
  <si>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</si>
  <si>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</si>
  <si>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</si>
  <si>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</si>
  <si>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</si>
  <si>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</si>
  <si>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</si>
  <si>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</si>
  <si>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</si>
  <si>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</si>
  <si>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</si>
  <si>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</si>
  <si>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</si>
  <si>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</si>
  <si>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</si>
  <si>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</si>
  <si>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</si>
  <si>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</si>
  <si>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</si>
  <si>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</si>
  <si>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Ispravljena kontrola 35 koja je uspoređivala AOP oznaku 131 umjesto 130, te kontrola 46 koja je javljala pogrešku ako su Bilanca ili RDG popunjeni u koloni prethodne godine. Ispravljeno par pogrešnih formula (automatske sume) u obrascu PK. Kontrolom je dopušteno da i u Dodatnim podacima neke AOP oznake mogu biti negativne (138 i 163). Kontrola 23 sad dopušta odstupanje od 1 kn. Kontrola 45 je pogrešno opisivala pogrešku na Izvještaj o promjenema kapitala, a u biti se odnosila na Izvještaj o novčanom toku.</t>
  </si>
  <si>
    <t>Izvještaj o Novčanom toku dužne su dostaviti sve kreditne institucije koje predaju izvještaj za potrebe javne objave. Kod predaje za statistiku izvještaj o Novčanom toku se ne predaje. Pogreška signalizira da je izvještaj o novčanom toku popunjen kad ne bi trebao biti ili nije popunjen kad bi trebao te ako su popunjeni i NT_I i NT_D istovremeno. Isto tako, ako je izvještaj o Novčanom tokku popunjen, moraju biti popunjene podacima isti oni stupci koji su popunjeni u Bilanci i RDG-u (prethodna i/ili tekuća godina)</t>
  </si>
  <si>
    <t xml:space="preserve">   2.2.4.1. Dobici ili gubici (-) u kapitalu</t>
  </si>
  <si>
    <t>2.1.5. Udjel ostalih priznatih prihoda i rashoda od subjekata koji se obračunava
           metodom udjela</t>
  </si>
  <si>
    <t>10. Dobit / gubitak od imovine kojom se aktivno ne trguje, a koja se vrednuje prema fer
       vrijednosti kroz RDG</t>
  </si>
  <si>
    <r>
      <t xml:space="preserve">20. Neto prihod od poslovanja prije vrijednosnih usklađivanja i rezerviranja 
       za gubitke </t>
    </r>
    <r>
      <rPr>
        <sz val="8"/>
        <rFont val="Arial"/>
        <family val="2"/>
      </rPr>
      <t>(AOP 049 + 052 do 063 - 064 - 065)</t>
    </r>
  </si>
  <si>
    <r>
      <t>22. DOBIT / GUBITAK PRIJE OPOREZIVANJA</t>
    </r>
    <r>
      <rPr>
        <sz val="8"/>
        <rFont val="Arial"/>
        <family val="2"/>
      </rPr>
      <t xml:space="preserve"> (AOP 066-067)</t>
    </r>
  </si>
  <si>
    <r>
      <t>24. DOBIT / GUBITAK TEKUĆE GODINE</t>
    </r>
    <r>
      <rPr>
        <b/>
        <sz val="8"/>
        <rFont val="Arial"/>
        <family val="2"/>
      </rPr>
      <t xml:space="preserve"> </t>
    </r>
    <r>
      <rPr>
        <sz val="8"/>
        <rFont val="Arial"/>
        <family val="2"/>
      </rPr>
      <t>(AOP 068-069)</t>
    </r>
  </si>
  <si>
    <t>2.1.3. Aktuarski dobici ili (-) gubici na mirovinskim planovima pod pokroviteljstvom
           poslodavca</t>
  </si>
  <si>
    <t xml:space="preserve">  7. Dobit / gubitak od ulaganja u podružnice, pridružena društva i zajedničke poduhvate</t>
  </si>
  <si>
    <r>
      <t xml:space="preserve">   1. Gotovina i depoziti kod HNB-a </t>
    </r>
    <r>
      <rPr>
        <sz val="8"/>
        <rFont val="Arial"/>
        <family val="2"/>
      </rPr>
      <t>(AOP 002+003)</t>
    </r>
  </si>
  <si>
    <t xml:space="preserve"> 14. Kamate, naknade i ostala imovina</t>
  </si>
  <si>
    <t xml:space="preserve"> 13. Materijalna imovina (minus amortizacija)</t>
  </si>
  <si>
    <t xml:space="preserve"> 12. Preuzeta imovina</t>
  </si>
  <si>
    <t xml:space="preserve"> 11. Ulaganja u podružnice, pridružena društva i zajedničke  pothvate</t>
  </si>
  <si>
    <t xml:space="preserve"> 10. Krediti ostalim komitentima</t>
  </si>
  <si>
    <t xml:space="preserve">   9. Krediti financijskim institucijama </t>
  </si>
  <si>
    <t xml:space="preserve">   8. Derivatna financijska imovina</t>
  </si>
  <si>
    <t xml:space="preserve">   7. Vrijednosni papiri i drugi financijski instrumenti kojima se aktivno ne trguje, a 
        vrednuju se prema fer vrijednosti kroz RDG</t>
  </si>
  <si>
    <t xml:space="preserve">   6. Vrijednosni papiri i drugi financijski instrumenti koji se drže do dospijeća</t>
  </si>
  <si>
    <t xml:space="preserve">   5. Vrijednosni papiri i drugi financijski instrumenti raspoloživi za prodaju </t>
  </si>
  <si>
    <t xml:space="preserve">   4. Vrijednosni papiri i drugi financijski instrumenti koji se drže radi trgovanja </t>
  </si>
  <si>
    <t xml:space="preserve">   3. Trezorski zapisi MF-a i blagajnički zapisi HNB-a</t>
  </si>
  <si>
    <t xml:space="preserve">   2. Depoziti kod kreditnih institucija</t>
  </si>
  <si>
    <t xml:space="preserve">   1.2. Depoziti kod HNB-a</t>
  </si>
  <si>
    <t xml:space="preserve">   1.1. Gotovina</t>
  </si>
  <si>
    <t xml:space="preserve">  1. Dionički kapital</t>
  </si>
  <si>
    <t xml:space="preserve">  2. Dobit / gubitak (-) tekuće godine</t>
  </si>
  <si>
    <t xml:space="preserve">  3. Zadržana dobit / gubitak (-)</t>
  </si>
  <si>
    <t xml:space="preserve">  4. Zakonske rezerve</t>
  </si>
  <si>
    <t xml:space="preserve">  5. Statutarne i ostale kapitalne rezerve</t>
  </si>
  <si>
    <r>
      <t xml:space="preserve">C) UKUPNO KAPITAL </t>
    </r>
    <r>
      <rPr>
        <sz val="8"/>
        <rFont val="Arial"/>
        <family val="2"/>
      </rPr>
      <t>(AOP 036 do 041)</t>
    </r>
  </si>
  <si>
    <r>
      <t xml:space="preserve">D) UKUPNO OBVEZE I KAPITAL </t>
    </r>
    <r>
      <rPr>
        <sz val="8"/>
        <rFont val="Arial"/>
        <family val="2"/>
      </rPr>
      <t>(AOP 035+042)</t>
    </r>
  </si>
  <si>
    <t>1.1. Kapital raspoloživ dioničarima matičnog društva</t>
  </si>
  <si>
    <r>
      <t xml:space="preserve">1.2. Manjinski udjel </t>
    </r>
    <r>
      <rPr>
        <sz val="8"/>
        <color indexed="12"/>
        <rFont val="Arial"/>
        <family val="2"/>
      </rPr>
      <t>(AOP 044-045)</t>
    </r>
  </si>
  <si>
    <r>
      <t xml:space="preserve">  1. Novčani tijek iz poslovnih aktivnosti prije promjena poslovne 
       imovine </t>
    </r>
    <r>
      <rPr>
        <b/>
        <sz val="8"/>
        <rFont val="Arial"/>
        <family val="2"/>
      </rPr>
      <t xml:space="preserve">(AOP 002 do 007) </t>
    </r>
  </si>
  <si>
    <t xml:space="preserve">       1.3. Amortizacija</t>
  </si>
  <si>
    <t xml:space="preserve">       1.2. Ispravci vrijednosti i rezerviranja za gubitke</t>
  </si>
  <si>
    <t xml:space="preserve">       1.1. Dobit / gubitak prije oporezivanja </t>
  </si>
  <si>
    <t xml:space="preserve">       1.4. Neto nerealizirana dobit/gubitak od financijske imovine i obveza po fer vrijednosti
               kroz RDG</t>
  </si>
  <si>
    <t xml:space="preserve">       2.1. Depoziti kod HNB-a</t>
  </si>
  <si>
    <t xml:space="preserve">       2.2. Trezorski zapisi MF-a i blagajnički zapisi HNB-a</t>
  </si>
  <si>
    <t xml:space="preserve">       2.3. Depoziti kod financijskih institucija i krediti financijskim institucijama</t>
  </si>
  <si>
    <t xml:space="preserve">       2.4. Krediti ostalim komitentima</t>
  </si>
  <si>
    <t xml:space="preserve">       2.5. Vrijednosni papiri i drugi financijski instrumenti koji se drže radi trgovanja</t>
  </si>
  <si>
    <t xml:space="preserve">       2.6. Vrijednosni papiri i drugi financijski instrumenti raspoloživi za prodaju</t>
  </si>
  <si>
    <t>Reviz</t>
  </si>
  <si>
    <t>VEL</t>
  </si>
  <si>
    <t>POR_KAP</t>
  </si>
  <si>
    <t>ZAP</t>
  </si>
  <si>
    <t>MJESECI</t>
  </si>
  <si>
    <t>OIB_REV</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</si>
  <si>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</si>
  <si>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</si>
  <si>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</si>
  <si>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</si>
  <si>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</si>
  <si>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</si>
  <si>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</si>
  <si>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</si>
  <si>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</si>
  <si>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</si>
  <si>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</si>
  <si>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</si>
  <si>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</si>
  <si>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</si>
  <si>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</si>
  <si>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</si>
  <si>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</si>
  <si>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</si>
  <si>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</si>
  <si>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</si>
  <si>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</si>
  <si>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</si>
  <si>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</si>
  <si>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</si>
  <si>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</si>
  <si>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</si>
  <si>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</si>
  <si>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</si>
  <si>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</si>
  <si>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</si>
  <si>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</si>
  <si>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</si>
  <si>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</si>
  <si>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</si>
  <si>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</si>
  <si>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</si>
  <si>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</si>
  <si>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</si>
  <si>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</si>
  <si>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</si>
  <si>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</si>
  <si>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</si>
  <si>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</si>
  <si>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</si>
  <si>
    <t>Bilanca i Račun dobiti i gubitka</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</si>
  <si>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</si>
  <si>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</si>
  <si>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</si>
  <si>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</si>
  <si>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</si>
  <si>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</si>
  <si>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</si>
  <si>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</si>
  <si>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</si>
  <si>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</si>
  <si>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</si>
  <si>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</si>
  <si>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IMAPK</t>
  </si>
  <si>
    <t>Afganistan</t>
  </si>
  <si>
    <t>Albanija</t>
  </si>
  <si>
    <t>Antarktika</t>
  </si>
  <si>
    <t>Alžir</t>
  </si>
  <si>
    <t>Izvještaj o promjenama kapitala dužni su dostaviti svi obveznici koji predaju izvještaj sa svrhom predaje javna objava.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</si>
  <si>
    <r>
      <t xml:space="preserve">  4. Neto novčani tijek iz poslovnih aktivnosti prije plaćanja poreza na dobit 
      </t>
    </r>
    <r>
      <rPr>
        <b/>
        <sz val="8"/>
        <rFont val="Arial"/>
        <family val="2"/>
      </rPr>
      <t>(AOP 001+008+017)</t>
    </r>
  </si>
  <si>
    <r>
      <t xml:space="preserve">  3. Neto povećanje / smanjenje poslovnih obveza </t>
    </r>
    <r>
      <rPr>
        <b/>
        <sz val="8"/>
        <rFont val="Arial"/>
        <family val="2"/>
      </rPr>
      <t>(AOP 018 do 021)</t>
    </r>
  </si>
  <si>
    <r>
      <t xml:space="preserve">  2. Neto povećanje / smanjenje poslovne imovine </t>
    </r>
    <r>
      <rPr>
        <b/>
        <sz val="8"/>
        <rFont val="Arial"/>
        <family val="2"/>
      </rPr>
      <t>(AOP 009 do 016)</t>
    </r>
  </si>
  <si>
    <r>
      <t xml:space="preserve">13. Gotovina i ekvivalenti gotovine na kraju godine  </t>
    </r>
    <r>
      <rPr>
        <b/>
        <sz val="8"/>
        <rFont val="Arial"/>
        <family val="2"/>
      </rPr>
      <t>(AOP 042+043)</t>
    </r>
  </si>
  <si>
    <r>
      <t xml:space="preserve">11. Neto povećanje / smanjenje gotovine i ekvivalenata gotovine </t>
    </r>
    <r>
      <rPr>
        <b/>
        <sz val="8"/>
        <rFont val="Arial"/>
        <family val="2"/>
      </rPr>
      <t>(AOP 040+041)</t>
    </r>
  </si>
  <si>
    <r>
      <t xml:space="preserve">  9. Neto priljev /odljev gotovine </t>
    </r>
    <r>
      <rPr>
        <b/>
        <sz val="8"/>
        <rFont val="Arial"/>
        <family val="2"/>
      </rPr>
      <t>(AOP 026+027+033)</t>
    </r>
  </si>
  <si>
    <r>
      <t xml:space="preserve">  8. Neto priljev / odljev gotovine iz financijskih aktivnosti </t>
    </r>
    <r>
      <rPr>
        <b/>
        <sz val="8"/>
        <rFont val="Arial"/>
        <family val="2"/>
      </rPr>
      <t>(AOP 034 do 039)</t>
    </r>
  </si>
  <si>
    <r>
      <t xml:space="preserve">  7. Neto priljev / odljev gotovine iz ulagačkih aktivnosti </t>
    </r>
    <r>
      <rPr>
        <b/>
        <sz val="8"/>
        <rFont val="Arial"/>
        <family val="2"/>
      </rPr>
      <t>(AOP 028 do 032)</t>
    </r>
  </si>
  <si>
    <r>
      <t xml:space="preserve">  6. Neto priljev / odljev gotovine iz poslovnih aktivnosti </t>
    </r>
    <r>
      <rPr>
        <b/>
        <sz val="8"/>
        <rFont val="Arial"/>
        <family val="2"/>
      </rPr>
      <t>(AOP 024+025)</t>
    </r>
  </si>
  <si>
    <r>
      <t xml:space="preserve">  3. Neto povećanje / smanjenje poslovnih obveza </t>
    </r>
    <r>
      <rPr>
        <b/>
        <sz val="8"/>
        <rFont val="Arial"/>
        <family val="2"/>
      </rPr>
      <t>(AOP 020 do 023)</t>
    </r>
  </si>
  <si>
    <r>
      <t xml:space="preserve">  2. Neto povećanje /smanjenje poslovne imovine</t>
    </r>
    <r>
      <rPr>
        <b/>
        <sz val="8"/>
        <rFont val="Arial"/>
        <family val="2"/>
      </rPr>
      <t xml:space="preserve"> (AOP 011 do 018)</t>
    </r>
  </si>
  <si>
    <r>
      <t xml:space="preserve">  1. Neto novčani tijek iz poslovnih aktivnosti</t>
    </r>
    <r>
      <rPr>
        <b/>
        <sz val="8"/>
        <rFont val="Arial"/>
        <family val="2"/>
      </rPr>
      <t xml:space="preserve"> (AOP 002 do 009)</t>
    </r>
  </si>
  <si>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</si>
  <si>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</si>
  <si>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</si>
  <si>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</si>
  <si>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</si>
  <si>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</si>
  <si>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</si>
  <si>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</si>
  <si>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</si>
  <si>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</si>
  <si>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</si>
  <si>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</si>
  <si>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</si>
  <si>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</si>
  <si>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</si>
  <si>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</si>
  <si>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</si>
  <si>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</si>
  <si>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</si>
  <si>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</si>
  <si>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</si>
  <si>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</si>
  <si>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</si>
  <si>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</si>
  <si>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</si>
  <si>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</si>
  <si>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</si>
  <si>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</si>
  <si>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</si>
  <si>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</si>
  <si>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</si>
  <si>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</si>
  <si>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</si>
  <si>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</si>
  <si>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</si>
  <si>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</si>
  <si>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</si>
  <si>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</si>
  <si>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</si>
  <si>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</si>
  <si>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</si>
  <si>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</si>
  <si>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</si>
  <si>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</si>
  <si>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</si>
  <si>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</si>
  <si>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</si>
  <si>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</si>
  <si>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</si>
  <si>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</si>
  <si>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</si>
  <si>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</si>
  <si>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Izvještaj o financijskom položaju (Bilanca)</t>
  </si>
  <si>
    <t xml:space="preserve">      8.3. Neto povećanje / smanjenje instrumenata dopunskog kapitala</t>
  </si>
  <si>
    <t xml:space="preserve">      8.4. Premija na dionice</t>
  </si>
  <si>
    <t>Bilješke uz financijske izvještaje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</si>
  <si>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</si>
  <si>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</si>
  <si>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</si>
  <si>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</si>
  <si>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</si>
  <si>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</si>
  <si>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</si>
  <si>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</si>
  <si>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Djelatnosti socijalne skrbi sa smješta...</t>
  </si>
  <si>
    <t>Ostale djelatnosti socijalne skrbi sa ...</t>
  </si>
  <si>
    <t>Djelatnosti socijalne skrbi bez smješt...</t>
  </si>
  <si>
    <t>Ostale djelatnosti socijalne skrbi bez...</t>
  </si>
  <si>
    <t>Pomoćne djelatnosti u izvođačkoj umjet...</t>
  </si>
  <si>
    <t>Rad povijesnih mjesta i građevina te s...</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</si>
  <si>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</si>
  <si>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</si>
  <si>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</si>
  <si>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</si>
  <si>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</si>
  <si>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</si>
  <si>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</si>
  <si>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</si>
  <si>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</si>
  <si>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Frizerski saloni i saloni za uljepšava...</t>
  </si>
  <si>
    <t>Godišnje izvješće obvezno je kada se izvještaj predaje za potrebe javne objave i za vrste izvještaja 10 i 11.</t>
  </si>
  <si>
    <t xml:space="preserve">  6. Nerealizirani dobitak (gubitak) s osnove vrijednosnog usklađivanja financijske imovine raspoložive za prodaju</t>
  </si>
  <si>
    <t>23. Porez na dobit</t>
  </si>
  <si>
    <t xml:space="preserve">  2.2. Depoziti kod financijskih institucija</t>
  </si>
  <si>
    <t xml:space="preserve">  2.3. Depoziti kod stranih financijskih institucija</t>
  </si>
  <si>
    <t xml:space="preserve">  5.7. Neto tečajne razlike po tražbinama na osnovi naknada</t>
  </si>
  <si>
    <t xml:space="preserve">  10.1. Troškovi naknada/provizija za bankovne usluge rezidenata</t>
  </si>
  <si>
    <t xml:space="preserve">  10.2. Troškovi naknada/provizija za bankovne usluge nerezidenata</t>
  </si>
  <si>
    <t xml:space="preserve">  10.3. Neto tečajne razlike po obvezama na osnovi naknada</t>
  </si>
  <si>
    <t xml:space="preserve">  11.1. Troškovi premija za osiguranje štednih uloga</t>
  </si>
  <si>
    <t xml:space="preserve">  11.2. Ostali nekamatni troškovi</t>
  </si>
  <si>
    <t xml:space="preserve">  12.2. Troškovi reprezentacije, reklame i propagande </t>
  </si>
  <si>
    <t xml:space="preserve">  12.3. Ostali opći administrativni troškovi</t>
  </si>
  <si>
    <t>Bilanca i Račun dobiti i gubitka predaju se u svim slučajevima. Podaci moraju biti popunjeni u onim kolonama u kojima je broj mjeseci poslovanja veći od nule. U slučaju da u jednom od ova dva obrasca nije popunjena kolona prethodne godine / ili tekuće godine a upisan je broj mjeseci poslovanja ova kontrola javit će pogrešku. Isto tako, kontrola će javiti pogrešku ako je broj mjeseci poslovanja u nekoj od kolona nula, a upisani su podaci u neki od ova dva obrasca.</t>
  </si>
  <si>
    <t>Obrazac Dodatni podaci popunjava se ako se izvještaj predaje za statističke svrhe (ili kombinirano). Dodatni podaci predaje se uz vrste izvještaja 10, 11, 20, 30 i 40. Kontrola javlja pogrešku ako obrazac Dodatni podaci nije popunjeni kada je predaja u statističke svrhe ili je popunjen, a predaja je samo u svrhu javne objave. Dodatni podaci mora biti popunjen u svim kolonama u kojima je broj mjeseci poslovanja veći od nule.</t>
  </si>
  <si>
    <t>Djelatnosti kućanstava koja zapošljava...</t>
  </si>
  <si>
    <t>Djelatnosti privatnih kućanstava koja ...</t>
  </si>
  <si>
    <t>Djelatnosti izvanteritorijalnih organi...</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</si>
  <si>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</si>
  <si>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</si>
  <si>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</si>
  <si>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</si>
  <si>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</si>
  <si>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</si>
  <si>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</si>
  <si>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</si>
  <si>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</si>
  <si>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</si>
  <si>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</si>
  <si>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</si>
  <si>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</si>
  <si>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</si>
  <si>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</si>
  <si>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</si>
  <si>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</si>
  <si>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</si>
  <si>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</si>
  <si>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</si>
  <si>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</si>
  <si>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</si>
  <si>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</si>
  <si>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</si>
  <si>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</si>
  <si>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</si>
  <si>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</si>
  <si>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</si>
  <si>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</si>
  <si>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VP</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</si>
  <si>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</si>
  <si>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</si>
  <si>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</si>
  <si>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</si>
  <si>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</si>
  <si>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</si>
  <si>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</si>
  <si>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</si>
  <si>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</si>
  <si>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</si>
  <si>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</si>
  <si>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</si>
  <si>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</si>
  <si>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</si>
  <si>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</si>
  <si>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</si>
  <si>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</si>
  <si>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</si>
  <si>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</si>
  <si>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</si>
  <si>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</si>
  <si>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</si>
  <si>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</si>
  <si>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</si>
  <si>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</si>
  <si>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</si>
  <si>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</si>
  <si>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</si>
  <si>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</si>
  <si>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</si>
  <si>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</si>
  <si>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</si>
  <si>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</si>
  <si>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</si>
  <si>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</si>
  <si>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</si>
  <si>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</si>
  <si>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</si>
  <si>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</si>
  <si>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</si>
  <si>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</si>
  <si>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</si>
  <si>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 xml:space="preserve">  17.1. u tome premije neživotnog osiguranja (bruto) </t>
  </si>
  <si>
    <t xml:space="preserve">  5.1. Prihodi od provizija i naknada za usluge platnog prometa i ostale bankovne usluge
          trgovačkim društvima</t>
  </si>
  <si>
    <t xml:space="preserve">  5.2. Prihodi od provizija i naknada za usluge platnog prometa i ostale bankovne usluge 
          financijskim institucijama</t>
  </si>
  <si>
    <t xml:space="preserve">  5.3. Prihodi od provizija i naknada za usluge platnog prometa i ostale bankovne usluge 
          državnim jedinicama</t>
  </si>
  <si>
    <t xml:space="preserve">  5.4. Prihodi od provizija i naknada za usluge platnog prometa i ostale bankovne usluge 
          neprofitnim institucijama</t>
  </si>
  <si>
    <t xml:space="preserve">  5.5. Prihodi od provizija i naknada za usluge platnog prometa i ostale bankovne usluge
           stanovništvu</t>
  </si>
  <si>
    <t xml:space="preserve">  5.6. Prihodi od provizija i naknada za usluge platnog prometa i ostale bankovne usluge 
          stranim osobama</t>
  </si>
  <si>
    <t>18. Izdaci za bruto autorske honorare i ugovore o djelu samo za fizičke osobe koje 
       nemaju registriranu djelatnost</t>
  </si>
  <si>
    <r>
      <t xml:space="preserve">Račun dobiti i gubitka </t>
    </r>
    <r>
      <rPr>
        <sz val="9"/>
        <color indexed="18"/>
        <rFont val="Arial"/>
        <family val="2"/>
      </rPr>
      <t>(kamatni prihodi od nadoknadivih i djelomično nadoknadivih plasmana)</t>
    </r>
  </si>
  <si>
    <t>IZNOS17</t>
  </si>
  <si>
    <t>IZNOS18</t>
  </si>
  <si>
    <t>IZNOS19</t>
  </si>
  <si>
    <t>IZNOS20</t>
  </si>
  <si>
    <t>IZNOS21</t>
  </si>
  <si>
    <t>IZNOS22</t>
  </si>
  <si>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</si>
  <si>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</si>
  <si>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t>
  </si>
  <si>
    <t>PROMJENE KAPITALA</t>
  </si>
  <si>
    <t>- ako je bilo što upisano u prekinuto poslovanje 1, u suprotnom 0</t>
  </si>
  <si>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</si>
  <si>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</si>
  <si>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</si>
  <si>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</si>
  <si>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</si>
  <si>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</si>
  <si>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</si>
  <si>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</si>
  <si>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</si>
  <si>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</si>
  <si>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</si>
  <si>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</si>
  <si>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</si>
  <si>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</si>
  <si>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</si>
  <si>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</si>
  <si>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</si>
  <si>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</si>
  <si>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</si>
  <si>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</si>
  <si>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Strojna obrada metala</t>
  </si>
  <si>
    <t>2571</t>
  </si>
  <si>
    <t>U Računu dobiti i gubitka AOP oznake 048, 051, 065 mogu biti samo pozitivne ili nula. Kontrola javlja pogrešku ako je neka od ovih AOP oznaka negativna.</t>
  </si>
  <si>
    <t>Ako su Dodatni podaci popunjeni, AOP oznaka 131 treba biti jednaka AOP oznaci 050 uz dopušteno odstupanje od 1.</t>
  </si>
  <si>
    <t>Ako su Dodatni podaci popunjeni, zbroj podataka na AOP oznakama 139, 144, 152 i 159 treba biti manji ili jednak vrijednosti AOP oznake 048.</t>
  </si>
  <si>
    <t>Ako su dodatni podaci popunjeni, AOP oznaka 160 treba biti jednaka vrijednosti AOP oznake 051 uz dopušteno odstupanje od 1.</t>
  </si>
  <si>
    <t>Ako su Dodatni podaci popunjeni, zbroj podataka na AOP oznakama 167 i 175 treba biti manji ili jednak od apsolutne vrijednosti AOP oznake 065.</t>
  </si>
  <si>
    <t>IMABIL</t>
  </si>
  <si>
    <t>IMADOD</t>
  </si>
  <si>
    <t>IMANTD</t>
  </si>
  <si>
    <t>IMANTI</t>
  </si>
  <si>
    <t>7010</t>
  </si>
  <si>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</si>
  <si>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</si>
  <si>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</si>
  <si>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</si>
  <si>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</si>
  <si>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</si>
  <si>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</si>
  <si>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</si>
  <si>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</si>
  <si>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</si>
  <si>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</si>
  <si>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</si>
  <si>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</si>
  <si>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</si>
  <si>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</si>
  <si>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</si>
  <si>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</si>
  <si>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</si>
  <si>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</si>
  <si>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</si>
  <si>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</si>
  <si>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</si>
  <si>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</si>
  <si>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t>581</t>
  </si>
  <si>
    <t>ZEMLJA</t>
  </si>
  <si>
    <t>MB_NADR</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</si>
  <si>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</si>
  <si>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</si>
  <si>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</si>
  <si>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</si>
  <si>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</si>
  <si>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</si>
  <si>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</si>
  <si>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</si>
  <si>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</si>
  <si>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</si>
  <si>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</si>
  <si>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</si>
  <si>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</si>
  <si>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</si>
  <si>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</si>
  <si>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</si>
  <si>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</si>
  <si>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</si>
  <si>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</si>
  <si>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</si>
  <si>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</si>
  <si>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</si>
  <si>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6311</t>
  </si>
  <si>
    <t>4789</t>
  </si>
  <si>
    <t>4791</t>
  </si>
  <si>
    <t>4799</t>
  </si>
  <si>
    <t>4910</t>
  </si>
  <si>
    <t>4920</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</si>
  <si>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</si>
  <si>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</si>
  <si>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</si>
  <si>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</si>
  <si>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</si>
  <si>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</si>
  <si>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</si>
  <si>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</si>
  <si>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</si>
  <si>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</si>
  <si>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</si>
  <si>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</si>
  <si>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</si>
  <si>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</si>
  <si>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</si>
  <si>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</si>
  <si>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</si>
  <si>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</si>
  <si>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</si>
  <si>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</si>
  <si>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</si>
  <si>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</si>
  <si>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</si>
  <si>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</si>
  <si>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</si>
  <si>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</si>
  <si>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</si>
  <si>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</si>
  <si>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</si>
  <si>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</si>
  <si>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</si>
  <si>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</si>
  <si>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</si>
  <si>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</si>
  <si>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</si>
  <si>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(potpis osobe ovlaštene za zastupanje)</t>
  </si>
  <si>
    <t>9412</t>
  </si>
  <si>
    <t>9420</t>
  </si>
  <si>
    <t>Djelatnosti sindikata</t>
  </si>
  <si>
    <t>9491</t>
  </si>
  <si>
    <t>Djelatnosti vjerskih organizacija</t>
  </si>
  <si>
    <t>Vidovec</t>
  </si>
  <si>
    <t>Gospić</t>
  </si>
  <si>
    <t>Osijek</t>
  </si>
  <si>
    <t>Viljevo</t>
  </si>
  <si>
    <t>Gračac</t>
  </si>
  <si>
    <t>Otočac</t>
  </si>
  <si>
    <t>Vinica</t>
  </si>
  <si>
    <t>Gradnja željezničkih pruga i podzemnih...</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</si>
  <si>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</si>
  <si>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</si>
  <si>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</si>
  <si>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</si>
  <si>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</si>
  <si>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</si>
  <si>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</si>
  <si>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</si>
  <si>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</si>
  <si>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</si>
  <si>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</si>
  <si>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</si>
  <si>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</si>
  <si>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</si>
  <si>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</si>
  <si>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</si>
  <si>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</si>
  <si>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</si>
  <si>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</si>
  <si>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</si>
  <si>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</si>
  <si>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Županija:</t>
  </si>
  <si>
    <t>Knjigovodstveni servis:</t>
  </si>
  <si>
    <t>Matični broj:</t>
  </si>
  <si>
    <t>Naziv</t>
  </si>
  <si>
    <t>Prosjek broja zaposlenih:</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</si>
  <si>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</si>
  <si>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</si>
  <si>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</si>
  <si>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</si>
  <si>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</si>
  <si>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</si>
  <si>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</si>
  <si>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</si>
  <si>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</si>
  <si>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</si>
  <si>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</si>
  <si>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</si>
  <si>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</si>
  <si>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</si>
  <si>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</si>
  <si>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</si>
  <si>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</si>
  <si>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</si>
  <si>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</si>
  <si>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</si>
  <si>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</si>
  <si>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</si>
  <si>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</si>
  <si>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</si>
  <si>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</si>
  <si>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</si>
  <si>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</si>
  <si>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5040</t>
  </si>
  <si>
    <t>PodDop</t>
  </si>
  <si>
    <t>0129</t>
  </si>
  <si>
    <t xml:space="preserve">Uzgoj ostalih višegodišnjih usjeva </t>
  </si>
  <si>
    <t>0130</t>
  </si>
  <si>
    <t>Uzgoj sadnog materijala i ukrasnog bilja</t>
  </si>
  <si>
    <t>0141</t>
  </si>
  <si>
    <t>Uzgoj muznih krava</t>
  </si>
  <si>
    <t>Pogreška signalizira da oznaka vlasništva nije upisan ili je upisana nepostojeća vrijednost.</t>
  </si>
  <si>
    <t>Manjinski udjel</t>
  </si>
  <si>
    <t>Obrazac
BAN-NTI</t>
  </si>
  <si>
    <t>Obrazac
BAN-NTD</t>
  </si>
  <si>
    <t>Obrazac
BAN-DOP</t>
  </si>
  <si>
    <t>Dodatni</t>
  </si>
  <si>
    <t>Trezorske dionice</t>
  </si>
  <si>
    <t>- ako je upisan bilo koji AOP u jedinu godinu, 1 u suprotnom 0</t>
  </si>
  <si>
    <t>Ostale djelatnosti pripreme i usluživa...</t>
  </si>
  <si>
    <t>Izdavanje imenika i popisa korisničkih...</t>
  </si>
  <si>
    <t>Izdavanje časopisa i periodičnih publi...</t>
  </si>
  <si>
    <t>Kontrole popunjenosti i ispravnosti upisanih podataka na Referentnoj stranici</t>
  </si>
  <si>
    <t>Pogreška signalizira da OIB nije upisan ili je pogrešna duljina OIB-a.</t>
  </si>
  <si>
    <t>Samo vrste izvještaja 10, 11, 20 i 30 mogu biti konsolidirane. Kontrola javlja pogrešku ako je označeno da je neka druga vrsta izvještaja konsolidirana. Konoslidirani izvještaj može se predati samo za javnu objavu.</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</si>
  <si>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</si>
  <si>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</si>
  <si>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</si>
  <si>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</si>
  <si>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</si>
  <si>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</si>
  <si>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</si>
  <si>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</si>
  <si>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</si>
  <si>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</si>
  <si>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</si>
  <si>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</si>
  <si>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</si>
  <si>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</si>
  <si>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</si>
  <si>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</si>
  <si>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</si>
  <si>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</si>
  <si>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</si>
  <si>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</si>
  <si>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</si>
  <si>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</si>
  <si>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</si>
  <si>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</si>
  <si>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</si>
  <si>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</si>
  <si>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</si>
  <si>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</si>
  <si>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</si>
  <si>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</si>
  <si>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</si>
  <si>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</si>
  <si>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</si>
  <si>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</si>
  <si>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</si>
  <si>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</si>
  <si>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</si>
  <si>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</si>
  <si>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</si>
  <si>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</si>
  <si>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</si>
  <si>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</si>
  <si>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</si>
  <si>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</si>
  <si>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</si>
  <si>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</si>
  <si>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</si>
  <si>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</si>
  <si>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</si>
  <si>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</si>
  <si>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</si>
  <si>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</si>
  <si>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</si>
  <si>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</si>
  <si>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</si>
  <si>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</si>
  <si>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NEAktivnost Mjes posl.</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</si>
  <si>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</si>
  <si>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</si>
  <si>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</si>
  <si>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</si>
  <si>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</si>
  <si>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</si>
  <si>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</si>
  <si>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</si>
  <si>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</si>
  <si>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</si>
  <si>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</si>
  <si>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</si>
  <si>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</si>
  <si>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</si>
  <si>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</si>
  <si>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</si>
  <si>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</si>
  <si>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</si>
  <si>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</si>
  <si>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</si>
  <si>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KONTAKT_EMAIL</t>
  </si>
  <si>
    <t>IMABILJ</t>
  </si>
  <si>
    <t>IMAREVIZ</t>
  </si>
  <si>
    <t>IMAGODIZV</t>
  </si>
  <si>
    <t>IMAODLRASP</t>
  </si>
  <si>
    <t>IMAODLUTVR</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</si>
  <si>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</si>
  <si>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</si>
  <si>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</si>
  <si>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</si>
  <si>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</si>
  <si>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</si>
  <si>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</si>
  <si>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</si>
  <si>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</si>
  <si>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</si>
  <si>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</si>
  <si>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</si>
  <si>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</si>
  <si>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</si>
  <si>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</si>
  <si>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</si>
  <si>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</si>
  <si>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</si>
  <si>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</si>
  <si>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</si>
  <si>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</si>
  <si>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</si>
  <si>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</si>
  <si>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</si>
  <si>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</si>
  <si>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</si>
  <si>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</si>
  <si>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</si>
  <si>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</si>
  <si>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</si>
  <si>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</si>
  <si>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</si>
  <si>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</si>
  <si>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</si>
  <si>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</si>
  <si>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</si>
  <si>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</si>
  <si>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</si>
  <si>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</si>
  <si>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</si>
  <si>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</si>
  <si>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</si>
  <si>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</si>
  <si>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</si>
  <si>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</si>
  <si>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</si>
  <si>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Link na upute:</t>
  </si>
  <si>
    <t>http://www.fina.hr/Default.aspx?sec=915</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</si>
  <si>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</si>
  <si>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</si>
  <si>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</si>
  <si>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3.0.1.</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</si>
  <si>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</si>
  <si>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</si>
  <si>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</si>
  <si>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</si>
  <si>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</si>
  <si>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</si>
  <si>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</si>
  <si>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</si>
  <si>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</si>
  <si>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</si>
  <si>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</si>
  <si>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</si>
  <si>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</si>
  <si>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</si>
  <si>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</si>
  <si>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</si>
  <si>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</si>
  <si>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</si>
  <si>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</si>
  <si>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</si>
  <si>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</si>
  <si>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</si>
  <si>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</si>
  <si>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</si>
  <si>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</si>
  <si>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</si>
  <si>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</si>
  <si>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</si>
  <si>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</si>
  <si>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</si>
  <si>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</si>
  <si>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</si>
  <si>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</si>
  <si>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</si>
  <si>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</si>
  <si>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</si>
  <si>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</si>
  <si>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</si>
  <si>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</si>
  <si>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</si>
  <si>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</si>
  <si>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</si>
  <si>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</si>
  <si>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</si>
  <si>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</si>
  <si>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</si>
  <si>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</si>
  <si>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</si>
  <si>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</si>
  <si>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</si>
  <si>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</si>
  <si>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</si>
  <si>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</si>
  <si>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</si>
  <si>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</si>
  <si>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</si>
  <si>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</si>
  <si>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</si>
  <si>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</si>
  <si>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</si>
  <si>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</si>
  <si>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</si>
  <si>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</si>
  <si>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</si>
  <si>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</si>
  <si>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</si>
  <si>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</si>
  <si>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</si>
  <si>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</si>
  <si>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</si>
  <si>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</si>
  <si>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</si>
  <si>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</si>
  <si>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</si>
  <si>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</si>
  <si>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</si>
  <si>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</si>
  <si>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</si>
  <si>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</si>
  <si>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</si>
  <si>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</si>
  <si>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</si>
  <si>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</si>
  <si>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</si>
  <si>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</si>
  <si>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</si>
  <si>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</si>
  <si>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</si>
  <si>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</si>
  <si>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</si>
  <si>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</si>
  <si>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</si>
  <si>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</si>
  <si>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</si>
  <si>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</si>
  <si>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</si>
  <si>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</si>
  <si>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</si>
  <si>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</si>
  <si>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</si>
  <si>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</si>
  <si>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</si>
  <si>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Fasadni i štukaturski radovi</t>
  </si>
  <si>
    <t>2561</t>
  </si>
  <si>
    <t>Obrada i prevlačenje metala</t>
  </si>
  <si>
    <t>2562</t>
  </si>
  <si>
    <t>REV_OIB</t>
  </si>
  <si>
    <t>Raspodjeljivo imateljima kapitala matice</t>
  </si>
  <si>
    <t>Opis pozicije</t>
  </si>
  <si>
    <r>
      <t xml:space="preserve">AOP
</t>
    </r>
    <r>
      <rPr>
        <b/>
        <sz val="7"/>
        <color indexed="9"/>
        <rFont val="Arial"/>
        <family val="2"/>
      </rPr>
      <t>oznaka</t>
    </r>
  </si>
  <si>
    <t>A) UKUPNO IMOVINA (001+004 do 016)</t>
  </si>
  <si>
    <t>Proizvodnja vina od grožđa</t>
  </si>
  <si>
    <t>1103</t>
  </si>
  <si>
    <t>1104</t>
  </si>
  <si>
    <t>1105</t>
  </si>
  <si>
    <t>Proizvodnja piva</t>
  </si>
  <si>
    <t>1106</t>
  </si>
  <si>
    <t>Proizvodnja slada</t>
  </si>
  <si>
    <t>1107</t>
  </si>
  <si>
    <t>1200</t>
  </si>
  <si>
    <t>9602</t>
  </si>
  <si>
    <t>Prethodna godina
(neto)</t>
  </si>
  <si>
    <t>Tekuća godina
(neto)</t>
  </si>
  <si>
    <t>Mikleuš</t>
  </si>
  <si>
    <t>Šandrovac</t>
  </si>
  <si>
    <t>Donji Vidovec</t>
  </si>
  <si>
    <t>Milna</t>
  </si>
  <si>
    <t>Šenkovec</t>
  </si>
  <si>
    <t>Dragalić</t>
  </si>
  <si>
    <t>Mljet</t>
  </si>
  <si>
    <t>Šestanovac</t>
  </si>
  <si>
    <t>Draganić</t>
  </si>
  <si>
    <t>Molve</t>
  </si>
  <si>
    <t>Šibenik</t>
  </si>
  <si>
    <t>Draž</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</si>
  <si>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</si>
  <si>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</si>
  <si>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</si>
  <si>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</si>
  <si>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</si>
  <si>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</si>
  <si>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adresa (ulica i broj) ili telefon poduzetnika nisu popunjeni ili nisu ispravno popunjeni.</t>
  </si>
  <si>
    <t>OPC_TXT</t>
  </si>
  <si>
    <t>44</t>
  </si>
  <si>
    <t>45</t>
  </si>
  <si>
    <t>46</t>
  </si>
  <si>
    <t>47</t>
  </si>
  <si>
    <t>48</t>
  </si>
  <si>
    <t>49</t>
  </si>
  <si>
    <t>50</t>
  </si>
  <si>
    <t>51</t>
  </si>
  <si>
    <t>52</t>
  </si>
  <si>
    <t>53</t>
  </si>
  <si>
    <t>54</t>
  </si>
  <si>
    <t>55</t>
  </si>
  <si>
    <t>56</t>
  </si>
  <si>
    <t>57</t>
  </si>
  <si>
    <t>58</t>
  </si>
  <si>
    <t>59</t>
  </si>
  <si>
    <t>60</t>
  </si>
  <si>
    <t>61</t>
  </si>
  <si>
    <t>62</t>
  </si>
  <si>
    <t>63</t>
  </si>
  <si>
    <t>64</t>
  </si>
  <si>
    <t>66</t>
  </si>
  <si>
    <t>67</t>
  </si>
  <si>
    <t>68</t>
  </si>
  <si>
    <t>69</t>
  </si>
  <si>
    <t>70</t>
  </si>
  <si>
    <t>71</t>
  </si>
  <si>
    <t>72</t>
  </si>
  <si>
    <t>73</t>
  </si>
  <si>
    <t>74</t>
  </si>
  <si>
    <t>75</t>
  </si>
  <si>
    <t>76</t>
  </si>
  <si>
    <t>77</t>
  </si>
  <si>
    <t>78</t>
  </si>
  <si>
    <t>79</t>
  </si>
  <si>
    <t>80</t>
  </si>
  <si>
    <t>81</t>
  </si>
  <si>
    <t>11686457780</t>
  </si>
  <si>
    <t>32247795989</t>
  </si>
  <si>
    <t>03467988</t>
  </si>
  <si>
    <t>080007370</t>
  </si>
  <si>
    <t>Croatia banka d.d.</t>
  </si>
  <si>
    <t>R. Frangeša Mihanovića 9</t>
  </si>
  <si>
    <t>info@croatiabanka.hr</t>
  </si>
  <si>
    <t>01/2391-121</t>
  </si>
  <si>
    <t>www.croatiabanka.hr</t>
  </si>
  <si>
    <t>Monika Rajković</t>
  </si>
  <si>
    <t>01/2391-679</t>
  </si>
  <si>
    <t>monika.rajkovic@croatiabanka.hr</t>
  </si>
  <si>
    <t>Mladen Duliba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</si>
</sst>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10"/>
      <color indexed="12"/>
      <name val="Arial"/>
      <family val="2"/>
    </font>
    <font>
      <i/>
      <sz val="9"/>
      <name val="Arial"/>
      <family val="2"/>
    </font>
    <font>
      <sz val="9"/>
      <color indexed="18"/>
      <name val="Arial"/>
      <family val="2"/>
    </font>
    <font>
      <sz val="8"/>
      <color indexed="23"/>
      <name val="Arial"/>
      <family val="2"/>
    </font>
    <font>
      <sz val="8"/>
      <color indexed="22"/>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b/>
      <sz val="9"/>
      <color indexed="12"/>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b/>
      <sz val="10"/>
      <color indexed="10"/>
      <name val="Arial"/>
      <family val="2"/>
    </font>
    <font>
      <b/>
      <sz val="11"/>
      <color indexed="56"/>
      <name val="Arial Rounded MT Bold"/>
      <family val="2"/>
    </font>
    <font>
      <i/>
      <sz val="10"/>
      <name val="Arial"/>
      <family val="2"/>
    </font>
    <font>
      <sz val="9"/>
      <color indexed="9"/>
      <name val="Arial"/>
      <family val="2"/>
    </font>
    <font>
      <sz val="8"/>
      <color indexed="55"/>
      <name val="Arial"/>
      <family val="2"/>
    </font>
    <font>
      <b/>
      <sz val="10"/>
      <color indexed="55"/>
      <name val="Arial"/>
      <family val="2"/>
    </font>
    <font>
      <b/>
      <sz val="8"/>
      <color indexed="55"/>
      <name val="Arial"/>
      <family val="2"/>
    </font>
    <font>
      <sz val="10"/>
      <color indexed="55"/>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bgColor indexed="22"/>
      </patternFill>
    </fill>
    <fill>
      <patternFill patternType="mediumGray">
        <fgColor indexed="22"/>
      </patternFill>
    </fill>
  </fills>
  <borders count="7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color indexed="63"/>
      </left>
      <right style="thin"/>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color indexed="63"/>
      </left>
      <right style="thin"/>
      <top style="thin"/>
      <bottom>
        <color indexed="63"/>
      </bottom>
    </border>
    <border>
      <left style="thin"/>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style="thin"/>
      <top>
        <color indexed="63"/>
      </top>
      <bottom style="thin"/>
    </border>
    <border>
      <left style="thin">
        <color indexed="9"/>
      </left>
      <right style="thin">
        <color indexed="9"/>
      </right>
      <top style="medium">
        <color indexed="22"/>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medium">
        <color indexed="22"/>
      </left>
      <right style="thin">
        <color indexed="9"/>
      </right>
      <top style="medium">
        <color indexed="22"/>
      </top>
      <bottom>
        <color indexed="63"/>
      </bottom>
    </border>
    <border>
      <left>
        <color indexed="63"/>
      </left>
      <right style="thin">
        <color indexed="9"/>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thin"/>
      <right style="thin">
        <color indexed="9"/>
      </right>
      <top style="medium">
        <color indexed="22"/>
      </top>
      <bottom style="medium">
        <color indexed="22"/>
      </bottom>
    </border>
    <border>
      <left style="thin">
        <color indexed="9"/>
      </left>
      <right style="thin">
        <color indexed="9"/>
      </right>
      <top style="medium">
        <color indexed="22"/>
      </top>
      <bottom style="medium">
        <color indexed="22"/>
      </bottom>
    </border>
    <border>
      <left style="thin"/>
      <right style="thin">
        <color indexed="9"/>
      </right>
      <top style="medium">
        <color indexed="22"/>
      </top>
      <bottom>
        <color indexed="63"/>
      </bottom>
    </border>
    <border>
      <left style="thin">
        <color indexed="9"/>
      </left>
      <right style="thin"/>
      <top style="thin"/>
      <bottom>
        <color indexed="63"/>
      </bottom>
    </border>
    <border>
      <left style="thin">
        <color indexed="9"/>
      </left>
      <right style="thin"/>
      <top>
        <color indexed="63"/>
      </top>
      <bottom style="medium">
        <color indexed="22"/>
      </bottom>
    </border>
    <border>
      <left style="thin">
        <color indexed="9"/>
      </left>
      <right style="thin">
        <color indexed="9"/>
      </right>
      <top style="thin"/>
      <bottom>
        <color indexed="63"/>
      </bottom>
    </border>
    <border>
      <left style="thin">
        <color indexed="9"/>
      </left>
      <right style="thin">
        <color indexed="9"/>
      </right>
      <top>
        <color indexed="63"/>
      </top>
      <bottom style="medium">
        <color indexed="22"/>
      </bottom>
    </border>
    <border>
      <left style="thin"/>
      <right style="thin"/>
      <top style="thin"/>
      <bottom>
        <color indexed="63"/>
      </bottom>
    </border>
    <border>
      <left style="thin"/>
      <right style="thin"/>
      <top>
        <color indexed="63"/>
      </top>
      <bottom style="thin"/>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xf numFmtId="0" fontId="90" fillId="0" borderId="7" applyNumberFormat="0" applyFill="0" applyAlignment="0" applyProtection="0"/>
    <xf numFmtId="0" fontId="6"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0" fillId="0" borderId="0" xfId="0" applyAlignment="1">
      <alignment horizontal="left" vertical="center" wrapText="1"/>
    </xf>
    <xf numFmtId="3" fontId="14" fillId="33" borderId="14" xfId="0" applyNumberFormat="1"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27" fillId="0" borderId="15"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4" fillId="33" borderId="17" xfId="0" applyNumberFormat="1" applyFont="1" applyFill="1" applyBorder="1" applyAlignment="1" applyProtection="1">
      <alignment horizontal="center" vertical="center"/>
      <protection locked="0"/>
    </xf>
    <xf numFmtId="49"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4" fillId="0" borderId="0" xfId="0" applyNumberFormat="1"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3" fillId="35" borderId="19" xfId="35" applyFont="1" applyFill="1" applyBorder="1" applyAlignment="1" applyProtection="1">
      <alignment horizontal="center" vertical="center" shrinkToFit="1"/>
      <protection hidden="1"/>
    </xf>
    <xf numFmtId="0" fontId="43" fillId="35" borderId="20" xfId="35" applyFont="1" applyFill="1" applyBorder="1" applyAlignment="1" applyProtection="1">
      <alignment horizontal="center" vertical="center" shrinkToFit="1"/>
      <protection hidden="1"/>
    </xf>
    <xf numFmtId="1" fontId="14"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12" fillId="0" borderId="21" xfId="0" applyFont="1" applyFill="1" applyBorder="1" applyAlignment="1" applyProtection="1">
      <alignment horizontal="center" vertical="top" wrapText="1"/>
      <protection hidden="1"/>
    </xf>
    <xf numFmtId="0" fontId="3" fillId="0" borderId="0" xfId="0" applyFont="1" applyFill="1" applyBorder="1" applyAlignment="1" applyProtection="1">
      <alignment vertical="center"/>
      <protection hidden="1"/>
    </xf>
    <xf numFmtId="0" fontId="3" fillId="0" borderId="22" xfId="0" applyFont="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12" fillId="0" borderId="21" xfId="0" applyFont="1" applyFill="1" applyBorder="1" applyAlignment="1">
      <alignment horizontal="center" vertical="top" wrapText="1"/>
    </xf>
    <xf numFmtId="0" fontId="38" fillId="0" borderId="22" xfId="0" applyFont="1" applyBorder="1" applyAlignment="1">
      <alignment horizontal="center" vertical="top" wrapText="1"/>
    </xf>
    <xf numFmtId="0" fontId="3" fillId="0" borderId="22" xfId="0" applyFont="1" applyBorder="1" applyAlignment="1">
      <alignment horizontal="center" wrapText="1"/>
    </xf>
    <xf numFmtId="0" fontId="2" fillId="36" borderId="0" xfId="0" applyFont="1" applyFill="1" applyBorder="1" applyAlignment="1">
      <alignment horizontal="center" vertical="center" wrapText="1"/>
    </xf>
    <xf numFmtId="0" fontId="29" fillId="37" borderId="23" xfId="0" applyFont="1" applyFill="1" applyBorder="1" applyAlignment="1" applyProtection="1">
      <alignment horizontal="center" vertical="center" wrapText="1"/>
      <protection hidden="1"/>
    </xf>
    <xf numFmtId="0" fontId="28" fillId="37" borderId="23" xfId="0" applyFont="1" applyFill="1" applyBorder="1" applyAlignment="1">
      <alignment horizontal="center" vertical="center" wrapText="1"/>
    </xf>
    <xf numFmtId="0" fontId="28" fillId="37" borderId="24" xfId="0" applyFont="1" applyFill="1" applyBorder="1" applyAlignment="1">
      <alignment horizontal="center" vertical="center" wrapText="1"/>
    </xf>
    <xf numFmtId="0" fontId="28" fillId="37" borderId="23" xfId="0" applyFont="1" applyFill="1" applyBorder="1" applyAlignment="1" applyProtection="1">
      <alignment horizontal="center" vertical="center" wrapText="1"/>
      <protection hidden="1"/>
    </xf>
    <xf numFmtId="0" fontId="28" fillId="37" borderId="24"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protection hidden="1"/>
    </xf>
    <xf numFmtId="0" fontId="29" fillId="37" borderId="26" xfId="0" applyFont="1" applyFill="1" applyBorder="1" applyAlignment="1" applyProtection="1">
      <alignment horizontal="center" vertical="center" wrapText="1"/>
      <protection hidden="1"/>
    </xf>
    <xf numFmtId="0" fontId="28" fillId="38" borderId="23" xfId="0" applyFont="1" applyFill="1" applyBorder="1" applyAlignment="1">
      <alignment horizontal="center" vertical="center" wrapText="1"/>
    </xf>
    <xf numFmtId="0" fontId="28" fillId="38" borderId="24" xfId="0" applyFont="1" applyFill="1" applyBorder="1" applyAlignment="1">
      <alignment horizontal="center" vertical="center" wrapText="1"/>
    </xf>
    <xf numFmtId="0" fontId="0" fillId="0" borderId="0" xfId="0" applyFont="1" applyAlignment="1">
      <alignment vertical="center"/>
    </xf>
    <xf numFmtId="0" fontId="28" fillId="38" borderId="25" xfId="0" applyFont="1" applyFill="1" applyBorder="1" applyAlignment="1">
      <alignment horizontal="center" vertical="center" wrapText="1"/>
    </xf>
    <xf numFmtId="0" fontId="28" fillId="38" borderId="25" xfId="0" applyFont="1" applyFill="1" applyBorder="1" applyAlignment="1">
      <alignment horizontal="center" vertical="center"/>
    </xf>
    <xf numFmtId="0" fontId="28" fillId="38" borderId="26" xfId="0" applyFont="1" applyFill="1" applyBorder="1" applyAlignment="1">
      <alignment horizontal="center" vertical="center" wrapText="1"/>
    </xf>
    <xf numFmtId="0" fontId="12" fillId="0" borderId="22" xfId="0" applyFont="1" applyFill="1" applyBorder="1" applyAlignment="1">
      <alignment horizontal="center" vertical="top" wrapText="1"/>
    </xf>
    <xf numFmtId="0" fontId="29" fillId="37" borderId="25" xfId="0" applyFont="1" applyFill="1" applyBorder="1" applyAlignment="1">
      <alignment horizontal="center" vertical="center"/>
    </xf>
    <xf numFmtId="49" fontId="29" fillId="37" borderId="25" xfId="0" applyNumberFormat="1" applyFont="1" applyFill="1" applyBorder="1" applyAlignment="1" applyProtection="1">
      <alignment horizontal="center" vertical="center"/>
      <protection hidden="1"/>
    </xf>
    <xf numFmtId="49" fontId="29" fillId="37" borderId="25" xfId="0" applyNumberFormat="1" applyFont="1" applyFill="1" applyBorder="1" applyAlignment="1">
      <alignment horizontal="center" vertical="center" wrapText="1"/>
    </xf>
    <xf numFmtId="49" fontId="29" fillId="37" borderId="26"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0" fontId="16" fillId="0" borderId="22" xfId="0" applyFont="1" applyFill="1" applyBorder="1" applyAlignment="1">
      <alignment horizontal="center" vertical="top" wrapText="1"/>
    </xf>
    <xf numFmtId="0" fontId="16"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6" fillId="0" borderId="22" xfId="0" applyFont="1" applyBorder="1" applyAlignment="1">
      <alignment horizontal="center" vertical="center" wrapText="1"/>
    </xf>
    <xf numFmtId="0" fontId="1" fillId="0" borderId="0" xfId="0" applyFont="1" applyAlignment="1">
      <alignment/>
    </xf>
    <xf numFmtId="0" fontId="1" fillId="0" borderId="0"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2" xfId="0" applyBorder="1" applyAlignment="1" applyProtection="1">
      <alignment horizontal="right" vertical="center"/>
      <protection hidden="1"/>
    </xf>
    <xf numFmtId="0" fontId="7" fillId="0" borderId="22" xfId="0" applyFont="1" applyBorder="1" applyAlignment="1" applyProtection="1">
      <alignment horizontal="right" vertical="center"/>
      <protection hidden="1"/>
    </xf>
    <xf numFmtId="0" fontId="7" fillId="0" borderId="22" xfId="0" applyFont="1" applyBorder="1" applyAlignment="1" applyProtection="1">
      <alignment vertical="center"/>
      <protection hidden="1"/>
    </xf>
    <xf numFmtId="0" fontId="7" fillId="0" borderId="22" xfId="0" applyFont="1" applyBorder="1" applyAlignment="1" applyProtection="1">
      <alignment horizontal="left" vertical="center"/>
      <protection hidden="1"/>
    </xf>
    <xf numFmtId="0" fontId="0" fillId="0" borderId="22"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8"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3"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3"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Alignment="1" applyProtection="1">
      <alignment vertical="center"/>
      <protection hidden="1"/>
    </xf>
    <xf numFmtId="0" fontId="0" fillId="0" borderId="0" xfId="0" applyAlignment="1" applyProtection="1">
      <alignment horizontal="right" vertical="center" wrapText="1"/>
      <protection hidden="1"/>
    </xf>
    <xf numFmtId="0" fontId="8" fillId="0" borderId="0" xfId="0" applyFont="1" applyBorder="1" applyAlignment="1" applyProtection="1">
      <alignment vertical="center"/>
      <protection hidden="1"/>
    </xf>
    <xf numFmtId="0" fontId="0" fillId="0" borderId="16" xfId="0" applyBorder="1" applyAlignment="1">
      <alignment vertical="center"/>
    </xf>
    <xf numFmtId="0" fontId="0" fillId="0" borderId="27" xfId="0" applyBorder="1" applyAlignment="1">
      <alignment vertical="center"/>
    </xf>
    <xf numFmtId="0" fontId="0" fillId="0" borderId="0" xfId="0" applyAlignment="1" applyProtection="1">
      <alignment horizontal="left" vertical="center"/>
      <protection hidden="1"/>
    </xf>
    <xf numFmtId="0" fontId="1" fillId="0" borderId="28"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1" fontId="1" fillId="0" borderId="0" xfId="0" applyNumberFormat="1" applyFont="1" applyFill="1" applyAlignment="1">
      <alignment vertical="center" wrapText="1"/>
    </xf>
    <xf numFmtId="0" fontId="1" fillId="0" borderId="0" xfId="0" applyFont="1" applyFill="1" applyAlignment="1">
      <alignment horizontal="center" vertical="center"/>
    </xf>
    <xf numFmtId="0" fontId="1" fillId="0" borderId="29" xfId="0" applyNumberFormat="1" applyFont="1" applyFill="1" applyBorder="1" applyAlignment="1">
      <alignment horizontal="left" vertical="center"/>
    </xf>
    <xf numFmtId="0" fontId="1" fillId="0" borderId="0" xfId="0" applyFont="1" applyFill="1" applyAlignment="1">
      <alignment horizontal="left" vertical="center"/>
    </xf>
    <xf numFmtId="0" fontId="1" fillId="0" borderId="30" xfId="0" applyNumberFormat="1" applyFont="1" applyFill="1" applyBorder="1" applyAlignment="1">
      <alignment horizontal="left" vertical="center"/>
    </xf>
    <xf numFmtId="0" fontId="1" fillId="0" borderId="31" xfId="0" applyNumberFormat="1" applyFont="1" applyFill="1" applyBorder="1" applyAlignment="1">
      <alignment horizontal="left" vertical="center"/>
    </xf>
    <xf numFmtId="0" fontId="1" fillId="0" borderId="32" xfId="0" applyNumberFormat="1" applyFont="1" applyFill="1" applyBorder="1" applyAlignment="1">
      <alignment horizontal="left" vertical="center"/>
    </xf>
    <xf numFmtId="0" fontId="1" fillId="0" borderId="33" xfId="0" applyNumberFormat="1" applyFont="1" applyFill="1" applyBorder="1" applyAlignment="1">
      <alignment horizontal="left" vertical="center"/>
    </xf>
    <xf numFmtId="0" fontId="1" fillId="0" borderId="34"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 fillId="0" borderId="0" xfId="0" applyFont="1" applyFill="1" applyBorder="1" applyAlignment="1">
      <alignment vertical="center" wrapText="1"/>
    </xf>
    <xf numFmtId="0" fontId="8" fillId="0" borderId="0" xfId="0" applyFont="1" applyFill="1" applyAlignment="1">
      <alignment horizontal="left" vertical="center" wrapText="1"/>
    </xf>
    <xf numFmtId="0" fontId="11" fillId="34" borderId="18"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wrapText="1"/>
      <protection hidden="1"/>
    </xf>
    <xf numFmtId="0" fontId="11" fillId="0" borderId="18"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3" fillId="0" borderId="29"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0" xfId="0" applyNumberFormat="1" applyFont="1" applyFill="1" applyAlignment="1">
      <alignment vertical="center"/>
    </xf>
    <xf numFmtId="0" fontId="24" fillId="39" borderId="17" xfId="0" applyFont="1" applyFill="1" applyBorder="1" applyAlignment="1" applyProtection="1">
      <alignment horizontal="center" vertical="center"/>
      <protection hidden="1"/>
    </xf>
    <xf numFmtId="49" fontId="28" fillId="37" borderId="40" xfId="0" applyNumberFormat="1" applyFont="1" applyFill="1" applyBorder="1" applyAlignment="1">
      <alignment horizontal="center" vertical="center" wrapText="1"/>
    </xf>
    <xf numFmtId="49" fontId="28" fillId="37" borderId="40" xfId="0" applyNumberFormat="1" applyFont="1" applyFill="1" applyBorder="1" applyAlignment="1">
      <alignment horizontal="center" vertical="center"/>
    </xf>
    <xf numFmtId="49" fontId="28" fillId="37" borderId="40"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center" vertical="center"/>
      <protection hidden="1"/>
    </xf>
    <xf numFmtId="3" fontId="24" fillId="0" borderId="0"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vertical="center" wrapText="1"/>
      <protection hidden="1"/>
    </xf>
    <xf numFmtId="0" fontId="44" fillId="0" borderId="0" xfId="0" applyFont="1" applyFill="1" applyBorder="1" applyAlignment="1" applyProtection="1">
      <alignment vertical="center" wrapText="1"/>
      <protection hidden="1"/>
    </xf>
    <xf numFmtId="0" fontId="44"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left" vertical="center" wrapText="1"/>
      <protection hidden="1"/>
    </xf>
    <xf numFmtId="0" fontId="57"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horizontal="center" vertical="center"/>
      <protection hidden="1"/>
    </xf>
    <xf numFmtId="0" fontId="14" fillId="33" borderId="17" xfId="0" applyFont="1" applyFill="1" applyBorder="1" applyAlignment="1" applyProtection="1">
      <alignment horizontal="center" vertical="center"/>
      <protection locked="0"/>
    </xf>
    <xf numFmtId="0" fontId="16" fillId="0" borderId="0" xfId="0" applyFont="1" applyBorder="1" applyAlignment="1">
      <alignment horizontal="center" vertical="center" wrapText="1"/>
    </xf>
    <xf numFmtId="49" fontId="61" fillId="0" borderId="41" xfId="52" applyNumberFormat="1" applyFont="1" applyFill="1" applyBorder="1" applyAlignment="1" applyProtection="1">
      <alignment horizontal="center" vertical="center" wrapText="1"/>
      <protection locked="0"/>
    </xf>
    <xf numFmtId="3" fontId="3" fillId="0" borderId="41" xfId="0" applyNumberFormat="1" applyFont="1" applyFill="1" applyBorder="1" applyAlignment="1" applyProtection="1">
      <alignment vertical="center" shrinkToFit="1"/>
      <protection locked="0"/>
    </xf>
    <xf numFmtId="49" fontId="61" fillId="0" borderId="42" xfId="52" applyNumberFormat="1" applyFont="1" applyFill="1" applyBorder="1" applyAlignment="1" applyProtection="1">
      <alignment horizontal="center" vertical="center" wrapText="1"/>
      <protection locked="0"/>
    </xf>
    <xf numFmtId="3" fontId="3" fillId="0" borderId="42" xfId="0" applyNumberFormat="1" applyFont="1" applyFill="1" applyBorder="1" applyAlignment="1" applyProtection="1">
      <alignment vertical="center" shrinkToFit="1"/>
      <protection locked="0"/>
    </xf>
    <xf numFmtId="49" fontId="61" fillId="0" borderId="42" xfId="52" applyNumberFormat="1" applyFont="1" applyFill="1" applyBorder="1" applyAlignment="1" applyProtection="1">
      <alignment horizontal="center" vertical="center" shrinkToFit="1"/>
      <protection locked="0"/>
    </xf>
    <xf numFmtId="49" fontId="61" fillId="0" borderId="43" xfId="52" applyNumberFormat="1" applyFont="1" applyFill="1" applyBorder="1" applyAlignment="1" applyProtection="1">
      <alignment horizontal="center" vertical="center" shrinkToFit="1"/>
      <protection locked="0"/>
    </xf>
    <xf numFmtId="49" fontId="28" fillId="37" borderId="44" xfId="0" applyNumberFormat="1" applyFont="1" applyFill="1" applyBorder="1" applyAlignment="1" applyProtection="1">
      <alignment horizontal="center" vertical="center"/>
      <protection hidden="1"/>
    </xf>
    <xf numFmtId="3" fontId="1" fillId="0" borderId="42" xfId="0" applyNumberFormat="1" applyFont="1" applyFill="1" applyBorder="1" applyAlignment="1" applyProtection="1">
      <alignment vertical="center" shrinkToFit="1"/>
      <protection locked="0"/>
    </xf>
    <xf numFmtId="3" fontId="1" fillId="0" borderId="42" xfId="0" applyNumberFormat="1" applyFont="1" applyFill="1" applyBorder="1" applyAlignment="1" applyProtection="1">
      <alignment horizontal="right" vertical="center" shrinkToFit="1"/>
      <protection hidden="1" locked="0"/>
    </xf>
    <xf numFmtId="3" fontId="1" fillId="0" borderId="42" xfId="0" applyNumberFormat="1" applyFont="1" applyFill="1" applyBorder="1" applyAlignment="1" applyProtection="1">
      <alignment horizontal="right" vertical="center" shrinkToFit="1"/>
      <protection locked="0"/>
    </xf>
    <xf numFmtId="167" fontId="11" fillId="0" borderId="42" xfId="0" applyNumberFormat="1" applyFont="1" applyFill="1" applyBorder="1" applyAlignment="1" applyProtection="1">
      <alignment horizontal="center" vertical="center"/>
      <protection hidden="1"/>
    </xf>
    <xf numFmtId="49" fontId="1" fillId="0" borderId="42" xfId="0" applyNumberFormat="1" applyFont="1" applyFill="1" applyBorder="1" applyAlignment="1" applyProtection="1">
      <alignment horizontal="center" vertical="center"/>
      <protection locked="0"/>
    </xf>
    <xf numFmtId="167" fontId="11" fillId="0" borderId="42" xfId="0" applyNumberFormat="1" applyFont="1" applyFill="1" applyBorder="1" applyAlignment="1">
      <alignment horizontal="center" vertical="center"/>
    </xf>
    <xf numFmtId="49" fontId="1" fillId="0" borderId="42" xfId="52" applyNumberFormat="1" applyFont="1" applyFill="1" applyBorder="1" applyAlignment="1" applyProtection="1">
      <alignment horizontal="center" vertical="center"/>
      <protection locked="0"/>
    </xf>
    <xf numFmtId="167" fontId="11" fillId="0" borderId="43" xfId="0" applyNumberFormat="1" applyFont="1" applyFill="1" applyBorder="1" applyAlignment="1">
      <alignment horizontal="center" vertical="center"/>
    </xf>
    <xf numFmtId="49" fontId="1" fillId="0" borderId="43" xfId="0" applyNumberFormat="1" applyFont="1" applyFill="1" applyBorder="1" applyAlignment="1" applyProtection="1">
      <alignment horizontal="center" vertical="center"/>
      <protection locked="0"/>
    </xf>
    <xf numFmtId="167" fontId="11" fillId="0" borderId="41" xfId="0" applyNumberFormat="1" applyFont="1" applyFill="1" applyBorder="1" applyAlignment="1">
      <alignment horizontal="center" vertical="center"/>
    </xf>
    <xf numFmtId="3" fontId="1" fillId="0" borderId="42" xfId="0" applyNumberFormat="1" applyFont="1" applyFill="1" applyBorder="1" applyAlignment="1" applyProtection="1">
      <alignment vertical="center"/>
      <protection locked="0"/>
    </xf>
    <xf numFmtId="3" fontId="1" fillId="0" borderId="43" xfId="0" applyNumberFormat="1" applyFont="1" applyFill="1" applyBorder="1" applyAlignment="1" applyProtection="1">
      <alignment vertical="center"/>
      <protection locked="0"/>
    </xf>
    <xf numFmtId="3" fontId="1" fillId="0" borderId="42" xfId="0" applyNumberFormat="1" applyFont="1" applyBorder="1" applyAlignment="1" applyProtection="1">
      <alignment vertical="center" shrinkToFit="1"/>
      <protection locked="0"/>
    </xf>
    <xf numFmtId="3" fontId="16" fillId="40" borderId="42" xfId="0" applyNumberFormat="1" applyFont="1" applyFill="1" applyBorder="1" applyAlignment="1" applyProtection="1">
      <alignment vertical="center" shrinkToFit="1"/>
      <protection hidden="1"/>
    </xf>
    <xf numFmtId="3" fontId="16" fillId="40" borderId="43" xfId="0" applyNumberFormat="1" applyFont="1" applyFill="1" applyBorder="1" applyAlignment="1" applyProtection="1">
      <alignment vertical="center" shrinkToFit="1"/>
      <protection hidden="1"/>
    </xf>
    <xf numFmtId="0" fontId="16" fillId="40" borderId="0" xfId="0" applyFont="1" applyFill="1" applyBorder="1" applyAlignment="1" applyProtection="1">
      <alignment horizontal="center" vertical="center" shrinkToFit="1"/>
      <protection hidden="1"/>
    </xf>
    <xf numFmtId="3" fontId="16" fillId="40" borderId="42" xfId="0" applyNumberFormat="1" applyFont="1" applyFill="1" applyBorder="1" applyAlignment="1" applyProtection="1">
      <alignment horizontal="right" vertical="center" shrinkToFit="1"/>
      <protection hidden="1"/>
    </xf>
    <xf numFmtId="3" fontId="16" fillId="40" borderId="43" xfId="0" applyNumberFormat="1" applyFont="1" applyFill="1" applyBorder="1" applyAlignment="1" applyProtection="1">
      <alignment horizontal="right" vertical="center" shrinkToFit="1"/>
      <protection hidden="1"/>
    </xf>
    <xf numFmtId="0" fontId="1" fillId="0" borderId="0" xfId="0" applyFont="1" applyFill="1" applyAlignment="1">
      <alignment horizontal="right" vertical="center"/>
    </xf>
    <xf numFmtId="0" fontId="27" fillId="0" borderId="10" xfId="0" applyFont="1" applyBorder="1" applyAlignment="1" applyProtection="1">
      <alignment horizontal="center" vertical="center"/>
      <protection locked="0"/>
    </xf>
    <xf numFmtId="49" fontId="2" fillId="0" borderId="41" xfId="0" applyNumberFormat="1" applyFont="1" applyFill="1" applyBorder="1" applyAlignment="1" applyProtection="1">
      <alignment horizontal="center" vertical="center"/>
      <protection locked="0"/>
    </xf>
    <xf numFmtId="3" fontId="3" fillId="0" borderId="41" xfId="0" applyNumberFormat="1" applyFont="1" applyFill="1" applyBorder="1" applyAlignment="1" applyProtection="1">
      <alignment horizontal="right" vertical="center" shrinkToFit="1"/>
      <protection locked="0"/>
    </xf>
    <xf numFmtId="49" fontId="2" fillId="0" borderId="42" xfId="0" applyNumberFormat="1" applyFont="1" applyFill="1" applyBorder="1" applyAlignment="1" applyProtection="1">
      <alignment horizontal="center" vertical="center"/>
      <protection locked="0"/>
    </xf>
    <xf numFmtId="3" fontId="3" fillId="0" borderId="42" xfId="0" applyNumberFormat="1" applyFont="1" applyFill="1" applyBorder="1" applyAlignment="1" applyProtection="1">
      <alignment horizontal="right" vertical="center" shrinkToFit="1"/>
      <protection locked="0"/>
    </xf>
    <xf numFmtId="49" fontId="2" fillId="0" borderId="43" xfId="0" applyNumberFormat="1" applyFont="1" applyFill="1" applyBorder="1" applyAlignment="1" applyProtection="1">
      <alignment horizontal="center" vertical="center"/>
      <protection locked="0"/>
    </xf>
    <xf numFmtId="3" fontId="18" fillId="0" borderId="42" xfId="0" applyNumberFormat="1" applyFont="1" applyFill="1" applyBorder="1" applyAlignment="1" applyProtection="1">
      <alignment horizontal="right" vertical="center" shrinkToFit="1"/>
      <protection hidden="1"/>
    </xf>
    <xf numFmtId="3" fontId="18" fillId="0" borderId="43" xfId="0" applyNumberFormat="1" applyFont="1" applyFill="1" applyBorder="1" applyAlignment="1" applyProtection="1">
      <alignment horizontal="right" vertical="center" shrinkToFit="1"/>
      <protection hidden="1"/>
    </xf>
    <xf numFmtId="49" fontId="61" fillId="0" borderId="43" xfId="52" applyNumberFormat="1" applyFont="1" applyFill="1" applyBorder="1" applyAlignment="1" applyProtection="1">
      <alignment horizontal="center" vertical="center" wrapText="1"/>
      <protection locked="0"/>
    </xf>
    <xf numFmtId="3" fontId="3" fillId="0" borderId="43" xfId="0" applyNumberFormat="1" applyFont="1" applyFill="1" applyBorder="1" applyAlignment="1" applyProtection="1">
      <alignment vertical="center" shrinkToFit="1"/>
      <protection locked="0"/>
    </xf>
    <xf numFmtId="167" fontId="11" fillId="0" borderId="43" xfId="0" applyNumberFormat="1" applyFont="1" applyFill="1" applyBorder="1" applyAlignment="1" applyProtection="1">
      <alignment horizontal="center" vertical="center"/>
      <protection hidden="1"/>
    </xf>
    <xf numFmtId="3" fontId="1" fillId="0" borderId="43" xfId="0" applyNumberFormat="1" applyFont="1" applyFill="1" applyBorder="1" applyAlignment="1" applyProtection="1">
      <alignment vertical="center" shrinkToFit="1"/>
      <protection locked="0"/>
    </xf>
    <xf numFmtId="3" fontId="18" fillId="0" borderId="41" xfId="0" applyNumberFormat="1" applyFont="1" applyFill="1" applyBorder="1" applyAlignment="1" applyProtection="1">
      <alignment horizontal="right" vertical="center" shrinkToFit="1"/>
      <protection hidden="1"/>
    </xf>
    <xf numFmtId="0" fontId="43" fillId="35" borderId="45" xfId="35" applyFont="1" applyFill="1" applyBorder="1" applyAlignment="1" applyProtection="1">
      <alignment horizontal="center" vertical="center" shrinkToFit="1"/>
      <protection hidden="1"/>
    </xf>
    <xf numFmtId="182" fontId="2" fillId="0" borderId="41" xfId="0" applyNumberFormat="1" applyFont="1" applyFill="1" applyBorder="1" applyAlignment="1">
      <alignment horizontal="center" vertical="center"/>
    </xf>
    <xf numFmtId="182" fontId="2" fillId="0" borderId="42" xfId="0" applyNumberFormat="1" applyFont="1" applyFill="1" applyBorder="1" applyAlignment="1">
      <alignment horizontal="center" vertical="center"/>
    </xf>
    <xf numFmtId="182" fontId="2" fillId="0" borderId="43" xfId="0" applyNumberFormat="1" applyFont="1" applyFill="1" applyBorder="1" applyAlignment="1">
      <alignment horizontal="center" vertical="center"/>
    </xf>
    <xf numFmtId="0" fontId="30" fillId="37" borderId="23" xfId="0" applyFont="1" applyFill="1" applyBorder="1" applyAlignment="1">
      <alignment horizontal="center" vertical="center" wrapText="1"/>
    </xf>
    <xf numFmtId="3" fontId="1" fillId="0" borderId="43"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vertical="center" shrinkToFit="1"/>
      <protection hidden="1"/>
    </xf>
    <xf numFmtId="3" fontId="18" fillId="0" borderId="43" xfId="0" applyNumberFormat="1" applyFont="1" applyFill="1" applyBorder="1" applyAlignment="1" applyProtection="1">
      <alignment vertical="center" shrinkToFit="1"/>
      <protection hidden="1"/>
    </xf>
    <xf numFmtId="3" fontId="18" fillId="39" borderId="43" xfId="0" applyNumberFormat="1" applyFont="1" applyFill="1" applyBorder="1" applyAlignment="1" applyProtection="1">
      <alignment horizontal="right" vertical="center" shrinkToFit="1"/>
      <protection hidden="1"/>
    </xf>
    <xf numFmtId="167" fontId="2" fillId="0" borderId="43" xfId="0" applyNumberFormat="1" applyFont="1" applyFill="1" applyBorder="1" applyAlignment="1" applyProtection="1">
      <alignment horizontal="center" vertical="center"/>
      <protection locked="0"/>
    </xf>
    <xf numFmtId="0" fontId="0" fillId="0" borderId="46" xfId="0" applyBorder="1" applyAlignment="1" applyProtection="1">
      <alignment vertical="center" wrapText="1"/>
      <protection hidden="1"/>
    </xf>
    <xf numFmtId="0" fontId="0" fillId="0" borderId="47" xfId="0"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6" xfId="0" applyFont="1" applyBorder="1" applyAlignment="1" applyProtection="1">
      <alignment vertical="center" wrapText="1"/>
      <protection hidden="1"/>
    </xf>
    <xf numFmtId="0" fontId="0" fillId="0" borderId="47" xfId="0" applyFont="1"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18" fillId="34" borderId="46" xfId="0" applyFont="1" applyFill="1" applyBorder="1" applyAlignment="1" applyProtection="1">
      <alignment horizontal="center" vertical="center"/>
      <protection hidden="1"/>
    </xf>
    <xf numFmtId="0" fontId="18" fillId="34" borderId="47" xfId="0" applyFont="1" applyFill="1" applyBorder="1" applyAlignment="1" applyProtection="1">
      <alignment horizontal="center" vertical="center"/>
      <protection hidden="1"/>
    </xf>
    <xf numFmtId="0" fontId="18" fillId="34" borderId="48" xfId="0" applyFont="1" applyFill="1" applyBorder="1" applyAlignment="1" applyProtection="1">
      <alignment horizontal="center" vertical="center"/>
      <protection hidden="1"/>
    </xf>
    <xf numFmtId="0" fontId="0" fillId="0" borderId="46" xfId="0" applyBorder="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0" fontId="11" fillId="0" borderId="46" xfId="0" applyFont="1" applyBorder="1" applyAlignment="1" applyProtection="1">
      <alignment wrapText="1"/>
      <protection hidden="1"/>
    </xf>
    <xf numFmtId="0" fontId="0" fillId="0" borderId="47" xfId="0" applyBorder="1" applyAlignment="1" applyProtection="1">
      <alignment wrapText="1"/>
      <protection hidden="1"/>
    </xf>
    <xf numFmtId="0" fontId="0" fillId="0" borderId="48" xfId="0" applyBorder="1" applyAlignment="1" applyProtection="1">
      <alignment wrapText="1"/>
      <protection hidden="1"/>
    </xf>
    <xf numFmtId="0" fontId="0" fillId="0" borderId="46" xfId="0" applyFont="1" applyBorder="1" applyAlignment="1" applyProtection="1">
      <alignment vertical="center"/>
      <protection hidden="1"/>
    </xf>
    <xf numFmtId="0" fontId="36" fillId="0" borderId="47" xfId="35" applyFont="1" applyBorder="1" applyAlignment="1" applyProtection="1">
      <alignment vertical="center"/>
      <protection hidden="1"/>
    </xf>
    <xf numFmtId="0" fontId="15" fillId="0" borderId="47" xfId="0" applyFont="1" applyBorder="1" applyAlignment="1" applyProtection="1">
      <alignment vertical="center"/>
      <protection hidden="1"/>
    </xf>
    <xf numFmtId="0" fontId="15" fillId="0" borderId="48" xfId="0" applyFont="1"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27"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Alignment="1">
      <alignment horizontal="right" vertical="center" wrapText="1"/>
    </xf>
    <xf numFmtId="0" fontId="39" fillId="0" borderId="27" xfId="0" applyFont="1" applyBorder="1" applyAlignment="1" applyProtection="1">
      <alignment horizontal="left" vertical="center" indent="2"/>
      <protection hidden="1"/>
    </xf>
    <xf numFmtId="0" fontId="51" fillId="0" borderId="0" xfId="0" applyFont="1" applyAlignment="1">
      <alignment horizontal="left" vertical="center" indent="2"/>
    </xf>
    <xf numFmtId="49" fontId="14" fillId="33" borderId="49" xfId="0" applyNumberFormat="1" applyFont="1" applyFill="1" applyBorder="1" applyAlignment="1" applyProtection="1">
      <alignment horizontal="center" vertical="center"/>
      <protection locked="0"/>
    </xf>
    <xf numFmtId="49" fontId="14" fillId="0" borderId="50"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1"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14" fontId="14" fillId="33" borderId="21" xfId="0" applyNumberFormat="1" applyFont="1" applyFill="1" applyBorder="1" applyAlignment="1" applyProtection="1">
      <alignment horizontal="center" vertical="center"/>
      <protection locked="0"/>
    </xf>
    <xf numFmtId="14" fontId="0" fillId="33" borderId="39" xfId="0" applyNumberFormat="1" applyFill="1" applyBorder="1" applyAlignment="1" applyProtection="1">
      <alignment horizontal="center" vertical="center"/>
      <protection locked="0"/>
    </xf>
    <xf numFmtId="0" fontId="42"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10" fillId="41" borderId="46" xfId="0" applyFont="1" applyFill="1" applyBorder="1" applyAlignment="1" applyProtection="1">
      <alignment horizontal="left" vertical="center" wrapText="1"/>
      <protection hidden="1"/>
    </xf>
    <xf numFmtId="0" fontId="0" fillId="41" borderId="47" xfId="0" applyFill="1" applyBorder="1" applyAlignment="1" applyProtection="1">
      <alignment horizontal="left" vertical="center" wrapText="1"/>
      <protection hidden="1"/>
    </xf>
    <xf numFmtId="0" fontId="0" fillId="41" borderId="48" xfId="0" applyFill="1" applyBorder="1" applyAlignment="1" applyProtection="1">
      <alignment horizontal="left" vertical="center" wrapText="1"/>
      <protection hidden="1"/>
    </xf>
    <xf numFmtId="0" fontId="28" fillId="0" borderId="0" xfId="0" applyFont="1" applyFill="1" applyBorder="1" applyAlignment="1" applyProtection="1">
      <alignment horizontal="right" vertical="center" shrinkToFit="1"/>
      <protection hidden="1"/>
    </xf>
    <xf numFmtId="0" fontId="44" fillId="0" borderId="0" xfId="0" applyFont="1" applyBorder="1" applyAlignment="1">
      <alignment horizontal="right" vertical="center" shrinkToFit="1"/>
    </xf>
    <xf numFmtId="0" fontId="11" fillId="0" borderId="0" xfId="0" applyFont="1" applyFill="1" applyBorder="1" applyAlignment="1" applyProtection="1">
      <alignment horizontal="right" vertical="center" shrinkToFit="1"/>
      <protection hidden="1"/>
    </xf>
    <xf numFmtId="0" fontId="0" fillId="0" borderId="29"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8" fillId="0" borderId="0" xfId="0" applyFont="1" applyFill="1" applyBorder="1" applyAlignment="1" applyProtection="1">
      <alignment horizontal="left" vertical="center" indent="2"/>
      <protection hidden="1"/>
    </xf>
    <xf numFmtId="0" fontId="44" fillId="0" borderId="0" xfId="0" applyFont="1" applyAlignment="1">
      <alignment horizontal="left" vertical="center" indent="2"/>
    </xf>
    <xf numFmtId="0" fontId="35" fillId="0" borderId="52" xfId="0" applyFont="1" applyBorder="1" applyAlignment="1" applyProtection="1">
      <alignment horizontal="center" vertical="center"/>
      <protection hidden="1"/>
    </xf>
    <xf numFmtId="0" fontId="0" fillId="0" borderId="54" xfId="0" applyBorder="1" applyAlignment="1">
      <alignment horizontal="center" vertical="center"/>
    </xf>
    <xf numFmtId="0" fontId="39" fillId="0" borderId="55" xfId="0" applyFont="1" applyBorder="1" applyAlignment="1" applyProtection="1">
      <alignment horizontal="center" vertical="center"/>
      <protection hidden="1"/>
    </xf>
    <xf numFmtId="0" fontId="39" fillId="0" borderId="55" xfId="0" applyFont="1" applyBorder="1" applyAlignment="1" applyProtection="1">
      <alignment vertical="center"/>
      <protection hidden="1"/>
    </xf>
    <xf numFmtId="0" fontId="0" fillId="0" borderId="56" xfId="0" applyBorder="1" applyAlignment="1">
      <alignment horizontal="right" vertical="center" wrapText="1"/>
    </xf>
    <xf numFmtId="49" fontId="14" fillId="33" borderId="49" xfId="0" applyNumberFormat="1" applyFont="1" applyFill="1" applyBorder="1" applyAlignment="1" applyProtection="1">
      <alignment horizontal="left" vertical="center"/>
      <protection locked="0"/>
    </xf>
    <xf numFmtId="49" fontId="14" fillId="0" borderId="51" xfId="0" applyNumberFormat="1" applyFont="1" applyBorder="1" applyAlignment="1" applyProtection="1">
      <alignment horizontal="left" vertical="center"/>
      <protection locked="0"/>
    </xf>
    <xf numFmtId="49" fontId="14" fillId="0" borderId="50" xfId="0" applyNumberFormat="1" applyFont="1" applyBorder="1" applyAlignment="1" applyProtection="1">
      <alignment horizontal="left" vertical="center"/>
      <protection locked="0"/>
    </xf>
    <xf numFmtId="0" fontId="8" fillId="0" borderId="57" xfId="0" applyFont="1" applyBorder="1" applyAlignment="1" applyProtection="1">
      <alignment vertical="center"/>
      <protection hidden="1"/>
    </xf>
    <xf numFmtId="0" fontId="39" fillId="0" borderId="57" xfId="0" applyFont="1" applyBorder="1" applyAlignment="1" applyProtection="1">
      <alignment horizontal="center" vertical="center"/>
      <protection hidden="1"/>
    </xf>
    <xf numFmtId="0" fontId="0" fillId="0" borderId="57"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1"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14" fillId="33" borderId="49"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4" fillId="42" borderId="21" xfId="0" applyNumberFormat="1" applyFont="1" applyFill="1" applyBorder="1" applyAlignment="1" applyProtection="1">
      <alignment horizontal="center" vertical="center"/>
      <protection hidden="1"/>
    </xf>
    <xf numFmtId="4" fontId="24" fillId="35" borderId="22" xfId="0" applyNumberFormat="1" applyFont="1" applyFill="1" applyBorder="1" applyAlignment="1" applyProtection="1">
      <alignment horizontal="center" vertical="center"/>
      <protection hidden="1"/>
    </xf>
    <xf numFmtId="4" fontId="24" fillId="35" borderId="3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21" xfId="0" applyNumberFormat="1" applyFont="1" applyFill="1" applyBorder="1" applyAlignment="1" applyProtection="1">
      <alignment horizontal="center" vertical="center" shrinkToFit="1"/>
      <protection locked="0"/>
    </xf>
    <xf numFmtId="1" fontId="25" fillId="33" borderId="39" xfId="0" applyNumberFormat="1" applyFont="1" applyFill="1" applyBorder="1" applyAlignment="1" applyProtection="1">
      <alignment horizontal="center" vertical="center" shrinkToFit="1"/>
      <protection locked="0"/>
    </xf>
    <xf numFmtId="0" fontId="39"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1" fillId="0" borderId="27"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2" fillId="0" borderId="27" xfId="0" applyFont="1" applyBorder="1" applyAlignment="1" applyProtection="1">
      <alignment vertical="center"/>
      <protection hidden="1"/>
    </xf>
    <xf numFmtId="0" fontId="14" fillId="33" borderId="49" xfId="0" applyFont="1" applyFill="1" applyBorder="1" applyAlignment="1" applyProtection="1">
      <alignment vertical="center" shrinkToFit="1"/>
      <protection locked="0"/>
    </xf>
    <xf numFmtId="0" fontId="0" fillId="0" borderId="51" xfId="0" applyBorder="1" applyAlignment="1" applyProtection="1">
      <alignment vertical="center" shrinkToFit="1"/>
      <protection locked="0"/>
    </xf>
    <xf numFmtId="0" fontId="0" fillId="0" borderId="50" xfId="0" applyBorder="1" applyAlignment="1" applyProtection="1">
      <alignment vertical="center" shrinkToFit="1"/>
      <protection locked="0"/>
    </xf>
    <xf numFmtId="0" fontId="19" fillId="0" borderId="0" xfId="0" applyFont="1" applyFill="1" applyBorder="1" applyAlignment="1" applyProtection="1">
      <alignment horizontal="right" vertical="center"/>
      <protection hidden="1"/>
    </xf>
    <xf numFmtId="0" fontId="0" fillId="0" borderId="58" xfId="0" applyBorder="1" applyAlignment="1">
      <alignment vertical="center"/>
    </xf>
    <xf numFmtId="0" fontId="8" fillId="0" borderId="0" xfId="0" applyFont="1" applyAlignment="1">
      <alignment horizontal="right" vertical="center" shrinkToFit="1"/>
    </xf>
    <xf numFmtId="0" fontId="1" fillId="0" borderId="27" xfId="0" applyFont="1" applyBorder="1" applyAlignment="1">
      <alignment horizontal="right" vertical="center"/>
    </xf>
    <xf numFmtId="0" fontId="1" fillId="0" borderId="56" xfId="0" applyFont="1" applyBorder="1" applyAlignment="1">
      <alignment horizontal="right" vertical="center"/>
    </xf>
    <xf numFmtId="0" fontId="13" fillId="0" borderId="51"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35" fillId="33" borderId="49" xfId="35" applyFont="1" applyFill="1" applyBorder="1" applyAlignment="1" applyProtection="1">
      <alignment vertical="center"/>
      <protection locked="0"/>
    </xf>
    <xf numFmtId="0" fontId="35" fillId="0" borderId="51" xfId="0" applyFont="1" applyBorder="1" applyAlignment="1" applyProtection="1">
      <alignment vertical="center"/>
      <protection locked="0"/>
    </xf>
    <xf numFmtId="0" fontId="35" fillId="0" borderId="50" xfId="0" applyFont="1" applyBorder="1" applyAlignment="1" applyProtection="1">
      <alignment vertical="center"/>
      <protection locked="0"/>
    </xf>
    <xf numFmtId="49" fontId="14" fillId="0" borderId="51" xfId="0" applyNumberFormat="1"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1" fillId="0" borderId="0" xfId="0" applyFont="1" applyBorder="1" applyAlignment="1">
      <alignment horizontal="right" vertical="center" wrapText="1"/>
    </xf>
    <xf numFmtId="0" fontId="0" fillId="0" borderId="0" xfId="0" applyBorder="1" applyAlignment="1">
      <alignment horizontal="right" vertical="center" wrapText="1"/>
    </xf>
    <xf numFmtId="0" fontId="14" fillId="0" borderId="51"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0" fontId="1" fillId="0" borderId="0" xfId="0" applyFont="1" applyAlignment="1">
      <alignment horizontal="right" vertical="center"/>
    </xf>
    <xf numFmtId="0" fontId="2" fillId="0" borderId="59"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57" fillId="0" borderId="0" xfId="0" applyFont="1" applyAlignment="1" applyProtection="1">
      <alignment horizontal="right" vertical="center"/>
      <protection hidden="1"/>
    </xf>
    <xf numFmtId="0" fontId="57" fillId="0" borderId="0" xfId="0" applyFont="1" applyBorder="1" applyAlignment="1" applyProtection="1">
      <alignment horizontal="right" vertical="center"/>
      <protection hidden="1"/>
    </xf>
    <xf numFmtId="0" fontId="19" fillId="0" borderId="0" xfId="0" applyFont="1" applyFill="1" applyBorder="1" applyAlignment="1" applyProtection="1">
      <alignment horizontal="right" vertical="center" wrapText="1"/>
      <protection hidden="1"/>
    </xf>
    <xf numFmtId="0" fontId="44" fillId="0" borderId="0" xfId="0" applyFont="1" applyFill="1" applyBorder="1" applyAlignment="1" applyProtection="1">
      <alignment vertical="center" wrapText="1"/>
      <protection hidden="1"/>
    </xf>
    <xf numFmtId="0" fontId="40"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56" fillId="0" borderId="0" xfId="0" applyFont="1" applyFill="1" applyBorder="1" applyAlignment="1" applyProtection="1">
      <alignment horizontal="left" vertical="center" indent="2" shrinkToFit="1"/>
      <protection hidden="1"/>
    </xf>
    <xf numFmtId="0" fontId="8" fillId="0" borderId="27" xfId="0" applyFont="1" applyBorder="1" applyAlignment="1">
      <alignment vertical="center"/>
    </xf>
    <xf numFmtId="0" fontId="14" fillId="33" borderId="49"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49" xfId="35" applyNumberFormat="1" applyFill="1" applyBorder="1" applyAlignment="1" applyProtection="1">
      <alignment horizontal="left" vertical="center"/>
      <protection locked="0"/>
    </xf>
    <xf numFmtId="0" fontId="24"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protection hidden="1"/>
    </xf>
    <xf numFmtId="0" fontId="8" fillId="0" borderId="0" xfId="0" applyFont="1" applyAlignment="1" applyProtection="1">
      <alignment vertical="center"/>
      <protection hidden="1"/>
    </xf>
    <xf numFmtId="0" fontId="0" fillId="0" borderId="57" xfId="0" applyBorder="1" applyAlignment="1">
      <alignment vertical="center"/>
    </xf>
    <xf numFmtId="0" fontId="0" fillId="0" borderId="0" xfId="0" applyBorder="1" applyAlignment="1">
      <alignment vertical="center"/>
    </xf>
    <xf numFmtId="0" fontId="8" fillId="0" borderId="57" xfId="0" applyFont="1" applyBorder="1" applyAlignment="1">
      <alignment vertical="center"/>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59" fillId="0" borderId="0" xfId="0" applyFont="1" applyBorder="1" applyAlignment="1" applyProtection="1">
      <alignment horizontal="left" vertical="center" indent="2"/>
      <protection hidden="1"/>
    </xf>
    <xf numFmtId="0" fontId="60" fillId="0" borderId="0" xfId="0" applyFont="1" applyAlignment="1">
      <alignment horizontal="left" vertical="center" indent="2"/>
    </xf>
    <xf numFmtId="0" fontId="39" fillId="0" borderId="28"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57" fillId="0" borderId="0" xfId="0" applyFont="1" applyAlignment="1">
      <alignment horizontal="right" vertical="center"/>
    </xf>
    <xf numFmtId="0" fontId="60" fillId="0" borderId="0" xfId="0" applyFont="1" applyAlignment="1">
      <alignment horizontal="right" vertical="center"/>
    </xf>
    <xf numFmtId="0" fontId="1" fillId="0" borderId="28" xfId="0" applyFont="1" applyBorder="1" applyAlignment="1" applyProtection="1">
      <alignment horizontal="right" vertical="center"/>
      <protection hidden="1"/>
    </xf>
    <xf numFmtId="0" fontId="0" fillId="0" borderId="0" xfId="0" applyAlignment="1">
      <alignment horizontal="right" vertical="center"/>
    </xf>
    <xf numFmtId="0" fontId="8" fillId="0" borderId="56" xfId="0" applyFont="1" applyBorder="1" applyAlignment="1" applyProtection="1">
      <alignment horizontal="left" vertical="center"/>
      <protection hidden="1"/>
    </xf>
    <xf numFmtId="0" fontId="3" fillId="0" borderId="42" xfId="0" applyNumberFormat="1" applyFont="1" applyBorder="1" applyAlignment="1" applyProtection="1">
      <alignment horizontal="left" vertical="center" wrapText="1" indent="1"/>
      <protection hidden="1"/>
    </xf>
    <xf numFmtId="49" fontId="3" fillId="0" borderId="42" xfId="0" applyNumberFormat="1" applyFont="1" applyBorder="1" applyAlignment="1" applyProtection="1">
      <alignment horizontal="left" vertical="center" wrapText="1" indent="2"/>
      <protection hidden="1"/>
    </xf>
    <xf numFmtId="49" fontId="3" fillId="0" borderId="42" xfId="0" applyNumberFormat="1" applyFont="1" applyFill="1" applyBorder="1" applyAlignment="1" applyProtection="1">
      <alignment horizontal="left" vertical="center" wrapText="1" indent="1"/>
      <protection hidden="1"/>
    </xf>
    <xf numFmtId="49" fontId="2" fillId="0" borderId="42" xfId="0" applyNumberFormat="1" applyFont="1" applyBorder="1" applyAlignment="1">
      <alignment horizontal="left" vertical="center" wrapText="1" indent="1"/>
    </xf>
    <xf numFmtId="49" fontId="3" fillId="0" borderId="42" xfId="0" applyNumberFormat="1" applyFont="1" applyBorder="1" applyAlignment="1">
      <alignment horizontal="left" vertical="center" wrapText="1" indent="1"/>
    </xf>
    <xf numFmtId="0" fontId="14" fillId="36" borderId="60" xfId="0" applyFont="1" applyFill="1" applyBorder="1" applyAlignment="1" applyProtection="1">
      <alignment horizontal="center" vertical="center" wrapText="1"/>
      <protection hidden="1"/>
    </xf>
    <xf numFmtId="0" fontId="15" fillId="36" borderId="61"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62"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62" xfId="0" applyFont="1" applyBorder="1" applyAlignment="1" applyProtection="1">
      <alignment horizontal="center" vertical="top" wrapText="1"/>
      <protection hidden="1"/>
    </xf>
    <xf numFmtId="0" fontId="12" fillId="33" borderId="46" xfId="0" applyFont="1" applyFill="1" applyBorder="1" applyAlignment="1" applyProtection="1">
      <alignment vertical="center" wrapText="1"/>
      <protection hidden="1"/>
    </xf>
    <xf numFmtId="0" fontId="12" fillId="33" borderId="47" xfId="0" applyFont="1" applyFill="1" applyBorder="1" applyAlignment="1" applyProtection="1">
      <alignment vertical="center" wrapText="1"/>
      <protection hidden="1"/>
    </xf>
    <xf numFmtId="0" fontId="12" fillId="33" borderId="48" xfId="0" applyFont="1" applyFill="1" applyBorder="1" applyAlignment="1" applyProtection="1">
      <alignment vertical="center" wrapText="1"/>
      <protection hidden="1"/>
    </xf>
    <xf numFmtId="0" fontId="28" fillId="37" borderId="63" xfId="0" applyFont="1" applyFill="1" applyBorder="1" applyAlignment="1" applyProtection="1">
      <alignment horizontal="center" vertical="center" wrapText="1"/>
      <protection hidden="1"/>
    </xf>
    <xf numFmtId="0" fontId="28" fillId="37" borderId="23" xfId="0" applyFont="1" applyFill="1" applyBorder="1" applyAlignment="1" applyProtection="1">
      <alignment horizontal="center" vertical="center" wrapText="1"/>
      <protection hidden="1"/>
    </xf>
    <xf numFmtId="0" fontId="29" fillId="37" borderId="64"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 fillId="34" borderId="41" xfId="0" applyFont="1" applyFill="1" applyBorder="1" applyAlignment="1">
      <alignment horizontal="left" vertical="center" wrapText="1"/>
    </xf>
    <xf numFmtId="0" fontId="3" fillId="34" borderId="41" xfId="0" applyFont="1" applyFill="1" applyBorder="1" applyAlignment="1">
      <alignment horizontal="left" vertical="center" wrapText="1"/>
    </xf>
    <xf numFmtId="49" fontId="3" fillId="0" borderId="42" xfId="0" applyNumberFormat="1" applyFont="1" applyBorder="1" applyAlignment="1" applyProtection="1">
      <alignment horizontal="left" vertical="center" wrapText="1" indent="1"/>
      <protection hidden="1"/>
    </xf>
    <xf numFmtId="49" fontId="2" fillId="0" borderId="43" xfId="0" applyNumberFormat="1" applyFont="1" applyBorder="1" applyAlignment="1" applyProtection="1">
      <alignment horizontal="left" vertical="center" wrapText="1"/>
      <protection hidden="1"/>
    </xf>
    <xf numFmtId="0" fontId="12" fillId="34" borderId="41" xfId="0" applyFont="1" applyFill="1" applyBorder="1" applyAlignment="1">
      <alignment horizontal="left" vertical="center" wrapText="1"/>
    </xf>
    <xf numFmtId="0" fontId="38" fillId="34" borderId="41" xfId="0" applyFont="1" applyFill="1" applyBorder="1" applyAlignment="1">
      <alignment vertical="center"/>
    </xf>
    <xf numFmtId="49" fontId="2" fillId="0" borderId="43" xfId="0" applyNumberFormat="1" applyFont="1" applyBorder="1" applyAlignment="1">
      <alignment horizontal="left" vertical="center" wrapText="1"/>
    </xf>
    <xf numFmtId="49" fontId="3" fillId="0" borderId="43" xfId="0" applyNumberFormat="1" applyFont="1" applyBorder="1" applyAlignment="1">
      <alignment horizontal="left" vertical="center" wrapText="1"/>
    </xf>
    <xf numFmtId="49" fontId="12" fillId="0" borderId="42" xfId="0" applyNumberFormat="1" applyFont="1" applyBorder="1" applyAlignment="1">
      <alignment horizontal="left" vertical="center" wrapText="1"/>
    </xf>
    <xf numFmtId="49" fontId="9" fillId="0" borderId="42" xfId="0" applyNumberFormat="1" applyFont="1" applyBorder="1" applyAlignment="1">
      <alignment horizontal="left" vertical="center" wrapText="1" indent="1"/>
    </xf>
    <xf numFmtId="49" fontId="9" fillId="0" borderId="43" xfId="0" applyNumberFormat="1" applyFont="1" applyBorder="1" applyAlignment="1">
      <alignment horizontal="left" vertical="center" wrapText="1" indent="1"/>
    </xf>
    <xf numFmtId="0" fontId="38" fillId="34" borderId="41" xfId="0" applyFont="1" applyFill="1" applyBorder="1" applyAlignment="1">
      <alignment horizontal="left" vertical="center" wrapText="1"/>
    </xf>
    <xf numFmtId="49" fontId="2" fillId="0" borderId="42" xfId="0"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49" fontId="45" fillId="0" borderId="42" xfId="0" applyNumberFormat="1" applyFont="1" applyFill="1" applyBorder="1" applyAlignment="1">
      <alignment horizontal="left" vertical="center" wrapText="1"/>
    </xf>
    <xf numFmtId="49" fontId="9" fillId="0" borderId="42" xfId="0" applyNumberFormat="1" applyFont="1" applyBorder="1" applyAlignment="1">
      <alignment horizontal="left" vertical="center" wrapText="1"/>
    </xf>
    <xf numFmtId="49" fontId="3" fillId="0" borderId="42" xfId="0" applyNumberFormat="1" applyFont="1" applyBorder="1" applyAlignment="1">
      <alignment horizontal="left" vertical="center" wrapText="1" indent="3"/>
    </xf>
    <xf numFmtId="0" fontId="46" fillId="0" borderId="0" xfId="0" applyFont="1" applyBorder="1" applyAlignment="1" applyProtection="1">
      <alignment horizontal="center" vertical="center" wrapText="1"/>
      <protection hidden="1"/>
    </xf>
    <xf numFmtId="0" fontId="46" fillId="0" borderId="62"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62" xfId="0" applyFont="1" applyBorder="1" applyAlignment="1" applyProtection="1">
      <alignment horizontal="center" vertical="top" wrapText="1"/>
      <protection hidden="1"/>
    </xf>
    <xf numFmtId="0" fontId="12" fillId="43" borderId="46" xfId="0" applyFont="1" applyFill="1" applyBorder="1" applyAlignment="1" applyProtection="1">
      <alignment vertical="center" wrapText="1"/>
      <protection hidden="1"/>
    </xf>
    <xf numFmtId="0" fontId="12" fillId="43" borderId="47" xfId="0" applyFont="1" applyFill="1" applyBorder="1" applyAlignment="1" applyProtection="1">
      <alignment vertical="center" wrapText="1"/>
      <protection hidden="1"/>
    </xf>
    <xf numFmtId="0" fontId="12" fillId="43" borderId="48" xfId="0" applyFont="1" applyFill="1" applyBorder="1" applyAlignment="1" applyProtection="1">
      <alignment vertical="center" wrapText="1"/>
      <protection hidden="1"/>
    </xf>
    <xf numFmtId="49" fontId="45" fillId="0" borderId="42" xfId="0" applyNumberFormat="1" applyFont="1" applyFill="1" applyBorder="1" applyAlignment="1">
      <alignment horizontal="left" vertical="center" wrapText="1" indent="1"/>
    </xf>
    <xf numFmtId="49" fontId="45" fillId="0" borderId="43" xfId="0" applyNumberFormat="1" applyFont="1" applyFill="1" applyBorder="1" applyAlignment="1">
      <alignment horizontal="left" vertical="center" wrapText="1" indent="1"/>
    </xf>
    <xf numFmtId="49" fontId="37" fillId="0" borderId="42" xfId="0" applyNumberFormat="1" applyFont="1" applyBorder="1" applyAlignment="1">
      <alignment horizontal="left" vertical="center" wrapText="1" indent="5"/>
    </xf>
    <xf numFmtId="0" fontId="3" fillId="0" borderId="42" xfId="0" applyFont="1" applyFill="1" applyBorder="1" applyAlignment="1">
      <alignment horizontal="left" vertical="center" wrapText="1" indent="1"/>
    </xf>
    <xf numFmtId="0" fontId="0" fillId="0" borderId="42" xfId="0" applyBorder="1" applyAlignment="1">
      <alignment horizontal="left" vertical="center" wrapText="1" indent="1"/>
    </xf>
    <xf numFmtId="0" fontId="17"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62"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62" xfId="0" applyFont="1" applyBorder="1" applyAlignment="1">
      <alignment horizontal="center" wrapText="1"/>
    </xf>
    <xf numFmtId="0" fontId="2" fillId="0" borderId="42" xfId="0" applyFont="1" applyFill="1" applyBorder="1" applyAlignment="1">
      <alignment horizontal="left" vertical="center" wrapText="1"/>
    </xf>
    <xf numFmtId="0" fontId="15" fillId="0" borderId="42" xfId="0" applyFont="1" applyBorder="1" applyAlignment="1">
      <alignment horizontal="left" vertical="center" wrapText="1"/>
    </xf>
    <xf numFmtId="0" fontId="15" fillId="36" borderId="61" xfId="0" applyFont="1" applyFill="1" applyBorder="1" applyAlignment="1">
      <alignment horizontal="center" vertical="center" wrapText="1"/>
    </xf>
    <xf numFmtId="0" fontId="28" fillId="38" borderId="64" xfId="0" applyFont="1" applyFill="1" applyBorder="1" applyAlignment="1">
      <alignment horizontal="center" vertical="center" wrapText="1"/>
    </xf>
    <xf numFmtId="0" fontId="28" fillId="38" borderId="25" xfId="0" applyFont="1" applyFill="1" applyBorder="1" applyAlignment="1">
      <alignment horizontal="center" vertical="center" wrapText="1"/>
    </xf>
    <xf numFmtId="0" fontId="19" fillId="38" borderId="25" xfId="0" applyFont="1" applyFill="1" applyBorder="1" applyAlignment="1">
      <alignment horizontal="center" vertical="center"/>
    </xf>
    <xf numFmtId="0" fontId="28" fillId="38" borderId="63" xfId="0" applyFont="1" applyFill="1" applyBorder="1" applyAlignment="1">
      <alignment horizontal="center" vertical="center" wrapText="1"/>
    </xf>
    <xf numFmtId="0" fontId="28" fillId="38" borderId="23" xfId="0" applyFont="1" applyFill="1" applyBorder="1" applyAlignment="1">
      <alignment horizontal="center" vertical="center" wrapText="1"/>
    </xf>
    <xf numFmtId="0" fontId="19" fillId="38" borderId="23" xfId="0" applyFont="1" applyFill="1" applyBorder="1" applyAlignment="1">
      <alignment horizontal="center" vertical="center" wrapText="1"/>
    </xf>
    <xf numFmtId="0" fontId="37" fillId="0" borderId="42" xfId="0" applyFont="1" applyFill="1" applyBorder="1" applyAlignment="1">
      <alignment horizontal="left" vertical="center" wrapText="1" indent="4"/>
    </xf>
    <xf numFmtId="0" fontId="55" fillId="0" borderId="42" xfId="0" applyFont="1" applyBorder="1" applyAlignment="1">
      <alignment horizontal="left" vertical="center" wrapText="1" indent="4"/>
    </xf>
    <xf numFmtId="0" fontId="12" fillId="44" borderId="41" xfId="0" applyFont="1" applyFill="1" applyBorder="1" applyAlignment="1">
      <alignment horizontal="left" vertical="center" shrinkToFit="1"/>
    </xf>
    <xf numFmtId="0" fontId="3" fillId="44" borderId="41" xfId="0" applyFont="1" applyFill="1" applyBorder="1" applyAlignment="1">
      <alignment horizontal="left" vertical="center" shrinkToFit="1"/>
    </xf>
    <xf numFmtId="0" fontId="0" fillId="0" borderId="42" xfId="0" applyBorder="1" applyAlignment="1">
      <alignment/>
    </xf>
    <xf numFmtId="0" fontId="2" fillId="0" borderId="43" xfId="0" applyFont="1" applyFill="1" applyBorder="1" applyAlignment="1">
      <alignment horizontal="left" vertical="center" wrapText="1"/>
    </xf>
    <xf numFmtId="0" fontId="15" fillId="0" borderId="43" xfId="0" applyFont="1" applyBorder="1" applyAlignment="1">
      <alignment horizontal="left" vertical="center" wrapText="1"/>
    </xf>
    <xf numFmtId="0" fontId="3" fillId="0" borderId="43" xfId="0" applyFont="1" applyFill="1" applyBorder="1" applyAlignment="1">
      <alignment horizontal="left" vertical="center" wrapText="1"/>
    </xf>
    <xf numFmtId="0" fontId="2" fillId="0" borderId="42" xfId="0" applyFont="1" applyBorder="1" applyAlignment="1">
      <alignment horizontal="left" vertical="center" wrapText="1"/>
    </xf>
    <xf numFmtId="0" fontId="3" fillId="0" borderId="42" xfId="0" applyFont="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Border="1" applyAlignment="1">
      <alignment horizontal="left" vertical="center" wrapText="1"/>
    </xf>
    <xf numFmtId="0" fontId="3" fillId="0" borderId="42" xfId="0" applyFont="1" applyFill="1" applyBorder="1" applyAlignment="1">
      <alignment vertical="center" wrapText="1"/>
    </xf>
    <xf numFmtId="0" fontId="12" fillId="45" borderId="41" xfId="0" applyFont="1" applyFill="1" applyBorder="1" applyAlignment="1">
      <alignment horizontal="left" vertical="center" shrinkToFit="1"/>
    </xf>
    <xf numFmtId="0" fontId="3" fillId="45" borderId="41" xfId="0" applyFont="1" applyFill="1" applyBorder="1" applyAlignment="1">
      <alignment horizontal="left" vertical="center" shrinkToFit="1"/>
    </xf>
    <xf numFmtId="0" fontId="3" fillId="0" borderId="42" xfId="0" applyFont="1" applyBorder="1" applyAlignment="1">
      <alignment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8" fillId="37" borderId="63" xfId="0" applyFont="1" applyFill="1" applyBorder="1" applyAlignment="1">
      <alignment horizontal="center" vertical="center" wrapText="1"/>
    </xf>
    <xf numFmtId="0" fontId="28" fillId="37" borderId="23" xfId="0" applyFont="1" applyFill="1" applyBorder="1" applyAlignment="1">
      <alignment horizontal="center" vertical="center" wrapText="1"/>
    </xf>
    <xf numFmtId="0" fontId="29" fillId="37" borderId="64" xfId="0" applyFont="1" applyFill="1" applyBorder="1" applyAlignment="1">
      <alignment horizontal="center" vertical="center" wrapText="1"/>
    </xf>
    <xf numFmtId="0" fontId="29" fillId="37" borderId="25" xfId="0" applyFont="1" applyFill="1" applyBorder="1" applyAlignment="1">
      <alignment horizontal="center" vertical="center" wrapText="1"/>
    </xf>
    <xf numFmtId="0" fontId="2" fillId="0" borderId="43" xfId="0" applyFont="1" applyBorder="1" applyAlignment="1">
      <alignment horizontal="left" vertical="center" wrapText="1"/>
    </xf>
    <xf numFmtId="0" fontId="11" fillId="0" borderId="43" xfId="0" applyFont="1" applyFill="1" applyBorder="1" applyAlignment="1">
      <alignment horizontal="left" vertical="center" wrapText="1"/>
    </xf>
    <xf numFmtId="0" fontId="11" fillId="0" borderId="43" xfId="0" applyFont="1" applyBorder="1" applyAlignment="1">
      <alignment horizontal="left" vertical="center" wrapText="1"/>
    </xf>
    <xf numFmtId="0" fontId="1" fillId="0" borderId="42" xfId="0" applyFont="1" applyFill="1" applyBorder="1" applyAlignment="1">
      <alignment horizontal="left" vertical="center" wrapText="1"/>
    </xf>
    <xf numFmtId="0" fontId="1" fillId="0" borderId="42" xfId="0" applyFont="1" applyBorder="1" applyAlignment="1">
      <alignment horizontal="left" vertical="center" wrapText="1"/>
    </xf>
    <xf numFmtId="0" fontId="11" fillId="0" borderId="42" xfId="0" applyFont="1" applyFill="1" applyBorder="1" applyAlignment="1">
      <alignment horizontal="left" vertical="center" wrapText="1"/>
    </xf>
    <xf numFmtId="0" fontId="11" fillId="0" borderId="42" xfId="0" applyFont="1" applyBorder="1" applyAlignment="1">
      <alignment horizontal="left" vertical="center" wrapText="1"/>
    </xf>
    <xf numFmtId="0" fontId="14" fillId="36" borderId="61" xfId="0" applyFont="1" applyFill="1" applyBorder="1" applyAlignment="1" applyProtection="1">
      <alignment horizontal="center" vertical="center" wrapText="1"/>
      <protection hidden="1"/>
    </xf>
    <xf numFmtId="0" fontId="16" fillId="33" borderId="46" xfId="0" applyFont="1" applyFill="1" applyBorder="1" applyAlignment="1" applyProtection="1">
      <alignment vertical="center" wrapText="1"/>
      <protection hidden="1"/>
    </xf>
    <xf numFmtId="0" fontId="16" fillId="33" borderId="47" xfId="0" applyFont="1" applyFill="1" applyBorder="1" applyAlignment="1" applyProtection="1">
      <alignment vertical="center" wrapText="1"/>
      <protection hidden="1"/>
    </xf>
    <xf numFmtId="0" fontId="1" fillId="0" borderId="47" xfId="0" applyFont="1" applyBorder="1" applyAlignment="1">
      <alignment vertical="center"/>
    </xf>
    <xf numFmtId="0" fontId="0" fillId="0" borderId="47" xfId="0" applyBorder="1" applyAlignment="1">
      <alignment vertical="center"/>
    </xf>
    <xf numFmtId="0" fontId="17" fillId="0" borderId="0" xfId="0" applyFont="1" applyFill="1" applyBorder="1" applyAlignment="1">
      <alignment horizontal="center" wrapText="1"/>
    </xf>
    <xf numFmtId="0" fontId="47" fillId="0" borderId="0" xfId="0" applyFont="1" applyAlignment="1">
      <alignment wrapText="1"/>
    </xf>
    <xf numFmtId="0" fontId="0" fillId="0" borderId="0" xfId="0" applyAlignment="1">
      <alignment wrapText="1"/>
    </xf>
    <xf numFmtId="0" fontId="14" fillId="0" borderId="0" xfId="0" applyFont="1" applyFill="1" applyBorder="1" applyAlignment="1">
      <alignment horizontal="center" wrapText="1"/>
    </xf>
    <xf numFmtId="0" fontId="0" fillId="0" borderId="0" xfId="0" applyFont="1" applyAlignment="1">
      <alignment wrapText="1"/>
    </xf>
    <xf numFmtId="0" fontId="1" fillId="0" borderId="23"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40" xfId="0" applyNumberFormat="1" applyFont="1" applyFill="1" applyBorder="1" applyAlignment="1">
      <alignment horizontal="center" vertical="center" wrapText="1"/>
    </xf>
    <xf numFmtId="0" fontId="28" fillId="37" borderId="68" xfId="0" applyFont="1" applyFill="1" applyBorder="1" applyAlignment="1">
      <alignment horizontal="center" vertical="center" wrapText="1"/>
    </xf>
    <xf numFmtId="0" fontId="28" fillId="37" borderId="69" xfId="0" applyFont="1" applyFill="1" applyBorder="1" applyAlignment="1">
      <alignment horizontal="center" vertical="center" wrapText="1"/>
    </xf>
    <xf numFmtId="0" fontId="1" fillId="0" borderId="66" xfId="0" applyFont="1" applyBorder="1" applyAlignment="1">
      <alignment/>
    </xf>
    <xf numFmtId="0" fontId="28" fillId="37" borderId="70" xfId="0" applyFont="1" applyFill="1" applyBorder="1" applyAlignment="1">
      <alignment horizontal="center" vertical="center" wrapText="1"/>
    </xf>
    <xf numFmtId="0" fontId="28" fillId="37" borderId="71"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11" fillId="0" borderId="41" xfId="0" applyFont="1" applyBorder="1" applyAlignment="1">
      <alignment horizontal="left" vertical="center" wrapText="1"/>
    </xf>
    <xf numFmtId="0" fontId="1" fillId="0" borderId="18" xfId="0" applyFont="1" applyFill="1" applyBorder="1" applyAlignment="1" applyProtection="1">
      <alignment horizontal="left" vertical="center" wrapText="1"/>
      <protection hidden="1"/>
    </xf>
    <xf numFmtId="0" fontId="10" fillId="43" borderId="72" xfId="0" applyFont="1" applyFill="1" applyBorder="1" applyAlignment="1" applyProtection="1">
      <alignment horizontal="center" vertical="center" wrapText="1"/>
      <protection hidden="1"/>
    </xf>
    <xf numFmtId="0" fontId="15" fillId="0" borderId="73" xfId="0" applyFont="1" applyBorder="1" applyAlignment="1">
      <alignment vertical="center" wrapText="1"/>
    </xf>
    <xf numFmtId="0" fontId="14" fillId="45" borderId="11" xfId="0" applyFont="1" applyFill="1" applyBorder="1" applyAlignment="1">
      <alignment horizontal="left" vertical="center" shrinkToFit="1"/>
    </xf>
    <xf numFmtId="0" fontId="15" fillId="45" borderId="12" xfId="0" applyFont="1" applyFill="1" applyBorder="1" applyAlignment="1">
      <alignment horizontal="left" vertical="center" shrinkToFit="1"/>
    </xf>
    <xf numFmtId="0" fontId="15" fillId="45" borderId="33" xfId="0" applyFont="1" applyFill="1" applyBorder="1" applyAlignment="1">
      <alignment horizontal="left" vertical="center" shrinkToFit="1"/>
    </xf>
    <xf numFmtId="0" fontId="14" fillId="45" borderId="74" xfId="0" applyFont="1" applyFill="1" applyBorder="1" applyAlignment="1">
      <alignment horizontal="left" vertical="center" shrinkToFit="1"/>
    </xf>
    <xf numFmtId="0" fontId="15" fillId="45" borderId="75" xfId="0" applyFont="1" applyFill="1" applyBorder="1" applyAlignment="1">
      <alignment horizontal="left" vertical="center" shrinkToFit="1"/>
    </xf>
    <xf numFmtId="0" fontId="15" fillId="45" borderId="76"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1" fillId="35" borderId="22" xfId="0" applyFont="1" applyFill="1" applyBorder="1" applyAlignment="1">
      <alignment horizontal="right" vertical="center" wrapText="1"/>
    </xf>
    <xf numFmtId="0" fontId="0" fillId="35" borderId="3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33"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29" xfId="0" applyFont="1" applyFill="1" applyBorder="1" applyAlignment="1">
      <alignment vertical="center" wrapText="1"/>
    </xf>
    <xf numFmtId="0" fontId="14" fillId="0" borderId="1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29"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29" xfId="0" applyFont="1" applyFill="1" applyBorder="1" applyAlignment="1" applyProtection="1">
      <alignment vertical="center" wrapText="1"/>
      <protection hidden="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29">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ill>
        <patternFill>
          <bgColor indexed="10"/>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4562475" y="3619500"/>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29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19" customWidth="1"/>
    <col min="3" max="7" width="9.140625" style="4" customWidth="1"/>
    <col min="8" max="8" width="9.140625" style="20" customWidth="1"/>
    <col min="9" max="9" width="9.140625" style="4" customWidth="1"/>
    <col min="10" max="25" width="9.140625" style="21" customWidth="1"/>
    <col min="26" max="16384" width="9.140625" style="4" customWidth="1"/>
  </cols>
  <sheetData>
    <row r="1" spans="1:31" ht="12.75">
      <c r="A1" s="35" t="s">
        <v>616</v>
      </c>
      <c r="B1" s="36" t="s">
        <v>617</v>
      </c>
      <c r="C1" s="35"/>
      <c r="D1" s="35" t="s">
        <v>486</v>
      </c>
      <c r="E1" s="35" t="s">
        <v>487</v>
      </c>
      <c r="F1" s="35" t="s">
        <v>1606</v>
      </c>
      <c r="G1" s="35" t="s">
        <v>488</v>
      </c>
      <c r="H1" s="37" t="s">
        <v>2333</v>
      </c>
      <c r="I1" s="35" t="s">
        <v>1565</v>
      </c>
      <c r="J1" s="38" t="s">
        <v>2334</v>
      </c>
      <c r="K1" s="38" t="s">
        <v>2335</v>
      </c>
      <c r="L1" s="38" t="s">
        <v>2336</v>
      </c>
      <c r="M1" s="38" t="s">
        <v>2337</v>
      </c>
      <c r="N1" s="38" t="s">
        <v>2338</v>
      </c>
      <c r="O1" s="38" t="s">
        <v>2339</v>
      </c>
      <c r="P1" s="38" t="s">
        <v>2340</v>
      </c>
      <c r="Q1" s="38" t="s">
        <v>2341</v>
      </c>
      <c r="R1" s="38" t="s">
        <v>2342</v>
      </c>
      <c r="S1" s="38" t="s">
        <v>2343</v>
      </c>
      <c r="T1" s="38" t="s">
        <v>2344</v>
      </c>
      <c r="U1" s="38" t="s">
        <v>404</v>
      </c>
      <c r="V1" s="38" t="s">
        <v>405</v>
      </c>
      <c r="W1" s="38" t="s">
        <v>406</v>
      </c>
      <c r="X1" s="38" t="s">
        <v>407</v>
      </c>
      <c r="Y1" s="38" t="s">
        <v>737</v>
      </c>
      <c r="Z1" s="38" t="s">
        <v>2263</v>
      </c>
      <c r="AA1" s="38" t="s">
        <v>2264</v>
      </c>
      <c r="AB1" s="38" t="s">
        <v>2265</v>
      </c>
      <c r="AC1" s="38" t="s">
        <v>2266</v>
      </c>
      <c r="AD1" s="38" t="s">
        <v>2267</v>
      </c>
      <c r="AE1" s="38" t="s">
        <v>2268</v>
      </c>
    </row>
    <row r="2" spans="1:11" ht="12.75">
      <c r="A2" s="4" t="s">
        <v>1556</v>
      </c>
      <c r="B2" s="19">
        <f>RefStr!F12</f>
        <v>2016</v>
      </c>
      <c r="D2" s="4" t="s">
        <v>1561</v>
      </c>
      <c r="E2" s="4">
        <v>1</v>
      </c>
      <c r="F2" s="4">
        <f>Bilanca!G9</f>
        <v>1</v>
      </c>
      <c r="G2" s="4">
        <f>IF(Bilanca!H9=0,"",Bilanca!H9)</f>
      </c>
      <c r="H2" s="20">
        <f>J2/100*F2+2*K2/100*F2</f>
        <v>11774029.73</v>
      </c>
      <c r="I2" s="21">
        <f>ABS(ROUND(J2,0)-J2)+ABS(ROUND(K2,0)-K2)</f>
        <v>0</v>
      </c>
      <c r="J2" s="21">
        <f>Bilanca!I9</f>
        <v>277960677</v>
      </c>
      <c r="K2" s="21">
        <f>Bilanca!J9</f>
        <v>449721148</v>
      </c>
    </row>
    <row r="3" spans="1:11" ht="12.75">
      <c r="A3" s="4" t="s">
        <v>2211</v>
      </c>
      <c r="B3" s="19" t="s">
        <v>2329</v>
      </c>
      <c r="D3" s="4" t="s">
        <v>1561</v>
      </c>
      <c r="E3" s="4">
        <v>1</v>
      </c>
      <c r="F3" s="4">
        <f>Bilanca!G10</f>
        <v>2</v>
      </c>
      <c r="G3" s="4">
        <f>IF(Bilanca!H10=0,"",Bilanca!H10)</f>
      </c>
      <c r="H3" s="20">
        <f>J3/100*F3+2*K3/100*F3</f>
        <v>1384610.7999999998</v>
      </c>
      <c r="I3" s="21">
        <f>ABS(ROUND(J3,0)-J3)+ABS(ROUND(K3,0)-K3)</f>
        <v>0</v>
      </c>
      <c r="J3" s="21">
        <f>Bilanca!I10</f>
        <v>27497604</v>
      </c>
      <c r="K3" s="21">
        <f>Bilanca!J10</f>
        <v>20866468</v>
      </c>
    </row>
    <row r="4" spans="1:11" ht="12.75">
      <c r="A4" s="4" t="s">
        <v>516</v>
      </c>
      <c r="B4" s="19" t="s">
        <v>2280</v>
      </c>
      <c r="D4" s="4" t="s">
        <v>1561</v>
      </c>
      <c r="E4" s="4">
        <v>1</v>
      </c>
      <c r="F4" s="4">
        <f>Bilanca!G11</f>
        <v>3</v>
      </c>
      <c r="G4" s="4">
        <f>IF(Bilanca!H11=0,"",Bilanca!H11)</f>
      </c>
      <c r="H4" s="20">
        <f>J4/100*F4+2*K4/100*F4</f>
        <v>33245172.989999995</v>
      </c>
      <c r="I4" s="21">
        <f>ABS(ROUND(J4,0)-J4)+ABS(ROUND(K4,0)-K4)</f>
        <v>0</v>
      </c>
      <c r="J4" s="21">
        <f>Bilanca!I11</f>
        <v>250463073</v>
      </c>
      <c r="K4" s="21">
        <f>Bilanca!J11</f>
        <v>428854680</v>
      </c>
    </row>
    <row r="5" spans="1:11" ht="12.75">
      <c r="A5" s="4" t="s">
        <v>615</v>
      </c>
      <c r="B5" s="19">
        <f>IF(ISNUMBER(RefStr!C17),RefStr!C17,0)</f>
        <v>10</v>
      </c>
      <c r="D5" s="4" t="s">
        <v>1561</v>
      </c>
      <c r="E5" s="4">
        <v>1</v>
      </c>
      <c r="F5" s="4">
        <f>Bilanca!G12</f>
        <v>4</v>
      </c>
      <c r="G5" s="4">
        <f>IF(Bilanca!H12=0,"",Bilanca!H12)</f>
      </c>
      <c r="H5" s="20">
        <f>J5/100*F5+2*K5/100*F5</f>
        <v>10304724.68</v>
      </c>
      <c r="I5" s="21">
        <f>ABS(ROUND(J5,0)-J5)+ABS(ROUND(K5,0)-K5)</f>
        <v>0</v>
      </c>
      <c r="J5" s="21">
        <f>Bilanca!I12</f>
        <v>103293181</v>
      </c>
      <c r="K5" s="21">
        <f>Bilanca!J12</f>
        <v>77162468</v>
      </c>
    </row>
    <row r="6" spans="1:11" ht="12.75">
      <c r="A6" s="4" t="s">
        <v>2345</v>
      </c>
      <c r="B6" s="19" t="str">
        <f>RefStr!H27</f>
        <v>03467988</v>
      </c>
      <c r="D6" s="4" t="s">
        <v>1561</v>
      </c>
      <c r="E6" s="4">
        <v>1</v>
      </c>
      <c r="F6" s="4">
        <f>Bilanca!G13</f>
        <v>5</v>
      </c>
      <c r="G6" s="4">
        <f>IF(Bilanca!H13=0,"",Bilanca!H13)</f>
      </c>
      <c r="H6" s="20">
        <f aca="true" t="shared" si="0" ref="H6:H45">J6/100*F6+2*K6/100*F6</f>
        <v>75840780.6</v>
      </c>
      <c r="I6" s="21">
        <f aca="true" t="shared" si="1" ref="I6:I45">ABS(ROUND(J6,0)-J6)+ABS(ROUND(K6,0)-K6)</f>
        <v>0</v>
      </c>
      <c r="J6" s="21">
        <f>Bilanca!I13</f>
        <v>520301536</v>
      </c>
      <c r="K6" s="21">
        <f>Bilanca!J13</f>
        <v>498257038</v>
      </c>
    </row>
    <row r="7" spans="1:11" ht="12.75">
      <c r="A7" s="4" t="s">
        <v>2346</v>
      </c>
      <c r="B7" s="19" t="str">
        <f>RefStr!M27</f>
        <v>080007370</v>
      </c>
      <c r="D7" s="4" t="s">
        <v>1561</v>
      </c>
      <c r="E7" s="4">
        <v>1</v>
      </c>
      <c r="F7" s="4">
        <f>Bilanca!G14</f>
        <v>6</v>
      </c>
      <c r="G7" s="4">
        <f>IF(Bilanca!H14=0,"",Bilanca!H14)</f>
      </c>
      <c r="H7" s="20">
        <f t="shared" si="0"/>
        <v>0</v>
      </c>
      <c r="I7" s="21">
        <f t="shared" si="1"/>
        <v>0</v>
      </c>
      <c r="J7" s="21">
        <f>Bilanca!I14</f>
        <v>0</v>
      </c>
      <c r="K7" s="21">
        <f>Bilanca!J14</f>
        <v>0</v>
      </c>
    </row>
    <row r="8" spans="1:11" ht="12.75">
      <c r="A8" s="4" t="s">
        <v>893</v>
      </c>
      <c r="B8" s="19" t="str">
        <f>RefStr!C27</f>
        <v>32247795989</v>
      </c>
      <c r="D8" s="4" t="s">
        <v>1561</v>
      </c>
      <c r="E8" s="4">
        <v>1</v>
      </c>
      <c r="F8" s="4">
        <f>Bilanca!G15</f>
        <v>7</v>
      </c>
      <c r="G8" s="4">
        <f>IF(Bilanca!H15=0,"",Bilanca!H15)</f>
      </c>
      <c r="H8" s="20">
        <f t="shared" si="0"/>
        <v>56773873.239999995</v>
      </c>
      <c r="I8" s="21">
        <f t="shared" si="1"/>
        <v>0</v>
      </c>
      <c r="J8" s="21">
        <f>Bilanca!I15</f>
        <v>154135314</v>
      </c>
      <c r="K8" s="21">
        <f>Bilanca!J15</f>
        <v>328460009</v>
      </c>
    </row>
    <row r="9" spans="1:11" ht="12.75">
      <c r="A9" s="4" t="s">
        <v>2347</v>
      </c>
      <c r="B9" s="19" t="str">
        <f>TRIM(RefStr!C29)</f>
        <v>Croatia banka d.d.</v>
      </c>
      <c r="D9" s="4" t="s">
        <v>1561</v>
      </c>
      <c r="E9" s="4">
        <v>1</v>
      </c>
      <c r="F9" s="4">
        <f>Bilanca!G16</f>
        <v>8</v>
      </c>
      <c r="G9" s="4">
        <f>IF(Bilanca!H16=0,"",Bilanca!H16)</f>
      </c>
      <c r="H9" s="20">
        <f t="shared" si="0"/>
        <v>12050105.84</v>
      </c>
      <c r="I9" s="21">
        <f t="shared" si="1"/>
        <v>0</v>
      </c>
      <c r="J9" s="21">
        <f>Bilanca!I16</f>
        <v>48377981</v>
      </c>
      <c r="K9" s="21">
        <f>Bilanca!J16</f>
        <v>51124171</v>
      </c>
    </row>
    <row r="10" spans="1:11" ht="12.75">
      <c r="A10" s="4" t="s">
        <v>2348</v>
      </c>
      <c r="B10" s="19" t="str">
        <f>TEXT(RefStr!C31,"00000")</f>
        <v>10110</v>
      </c>
      <c r="D10" s="4" t="s">
        <v>1561</v>
      </c>
      <c r="E10" s="4">
        <v>1</v>
      </c>
      <c r="F10" s="4">
        <f>Bilanca!G17</f>
        <v>9</v>
      </c>
      <c r="G10" s="4">
        <f>IF(Bilanca!H17=0,"",Bilanca!H17)</f>
      </c>
      <c r="H10" s="20">
        <f t="shared" si="0"/>
        <v>0</v>
      </c>
      <c r="I10" s="21">
        <f t="shared" si="1"/>
        <v>0</v>
      </c>
      <c r="J10" s="21">
        <f>Bilanca!I17</f>
        <v>0</v>
      </c>
      <c r="K10" s="21">
        <f>Bilanca!J17</f>
        <v>0</v>
      </c>
    </row>
    <row r="11" spans="1:11" ht="12.75">
      <c r="A11" s="4" t="s">
        <v>2349</v>
      </c>
      <c r="B11" s="19" t="str">
        <f>TRIM(RefStr!F31)</f>
        <v>Zagreb</v>
      </c>
      <c r="D11" s="4" t="s">
        <v>1561</v>
      </c>
      <c r="E11" s="4">
        <v>1</v>
      </c>
      <c r="F11" s="4">
        <f>Bilanca!G18</f>
        <v>10</v>
      </c>
      <c r="G11" s="4">
        <f>IF(Bilanca!H18=0,"",Bilanca!H18)</f>
      </c>
      <c r="H11" s="20">
        <f t="shared" si="0"/>
        <v>0</v>
      </c>
      <c r="I11" s="21">
        <f t="shared" si="1"/>
        <v>0</v>
      </c>
      <c r="J11" s="21">
        <f>Bilanca!I18</f>
        <v>0</v>
      </c>
      <c r="K11" s="21">
        <f>Bilanca!J18</f>
        <v>0</v>
      </c>
    </row>
    <row r="12" spans="1:11" ht="12.75">
      <c r="A12" s="4" t="s">
        <v>2350</v>
      </c>
      <c r="B12" s="19" t="str">
        <f>TRIM(RefStr!C33)</f>
        <v>R. Frangeša Mihanovića 9</v>
      </c>
      <c r="D12" s="4" t="s">
        <v>1561</v>
      </c>
      <c r="E12" s="4">
        <v>1</v>
      </c>
      <c r="F12" s="4">
        <f>Bilanca!G19</f>
        <v>11</v>
      </c>
      <c r="G12" s="4">
        <f>IF(Bilanca!H19=0,"",Bilanca!H19)</f>
      </c>
      <c r="H12" s="20">
        <f t="shared" si="0"/>
        <v>8414443.84</v>
      </c>
      <c r="I12" s="21">
        <f t="shared" si="1"/>
        <v>0</v>
      </c>
      <c r="J12" s="21">
        <f>Bilanca!I19</f>
        <v>25366388</v>
      </c>
      <c r="K12" s="21">
        <f>Bilanca!J19</f>
        <v>25564278</v>
      </c>
    </row>
    <row r="13" spans="1:11" ht="12.75">
      <c r="A13" s="4" t="s">
        <v>2654</v>
      </c>
      <c r="B13" s="19" t="str">
        <f>TRIM(RefStr!C35)</f>
        <v>info@croatiabanka.hr</v>
      </c>
      <c r="D13" s="4" t="s">
        <v>1561</v>
      </c>
      <c r="E13" s="4">
        <v>1</v>
      </c>
      <c r="F13" s="4">
        <f>Bilanca!G20</f>
        <v>12</v>
      </c>
      <c r="G13" s="4">
        <f>IF(Bilanca!H20=0,"",Bilanca!H20)</f>
      </c>
      <c r="H13" s="20">
        <f t="shared" si="0"/>
        <v>606365476.3199999</v>
      </c>
      <c r="I13" s="21">
        <f t="shared" si="1"/>
        <v>0</v>
      </c>
      <c r="J13" s="21">
        <f>Bilanca!I20</f>
        <v>1887605214</v>
      </c>
      <c r="K13" s="21">
        <f>Bilanca!J20</f>
        <v>1582720211</v>
      </c>
    </row>
    <row r="14" spans="1:11" ht="12.75">
      <c r="A14" s="4" t="s">
        <v>2655</v>
      </c>
      <c r="B14" s="19" t="str">
        <f>TRIM(RefStr!C37)</f>
        <v>www.croatiabanka.hr</v>
      </c>
      <c r="D14" s="4" t="s">
        <v>1561</v>
      </c>
      <c r="E14" s="4">
        <v>1</v>
      </c>
      <c r="F14" s="4">
        <f>Bilanca!G21</f>
        <v>13</v>
      </c>
      <c r="G14" s="4">
        <f>IF(Bilanca!H21=0,"",Bilanca!H21)</f>
      </c>
      <c r="H14" s="20">
        <f t="shared" si="0"/>
        <v>0</v>
      </c>
      <c r="I14" s="21">
        <f t="shared" si="1"/>
        <v>0</v>
      </c>
      <c r="J14" s="21">
        <f>Bilanca!I21</f>
        <v>0</v>
      </c>
      <c r="K14" s="21">
        <f>Bilanca!J21</f>
        <v>0</v>
      </c>
    </row>
    <row r="15" spans="1:11" ht="12.75">
      <c r="A15" s="4" t="s">
        <v>2353</v>
      </c>
      <c r="B15" s="19" t="str">
        <f>TEXT(RefStr!J39,"00")</f>
        <v>21</v>
      </c>
      <c r="D15" s="4" t="s">
        <v>1561</v>
      </c>
      <c r="E15" s="4">
        <v>1</v>
      </c>
      <c r="F15" s="4">
        <f>Bilanca!G22</f>
        <v>14</v>
      </c>
      <c r="G15" s="4">
        <f>IF(Bilanca!H22=0,"",Bilanca!H22)</f>
      </c>
      <c r="H15" s="20">
        <f t="shared" si="0"/>
        <v>24418442.16</v>
      </c>
      <c r="I15" s="21">
        <f t="shared" si="1"/>
        <v>0</v>
      </c>
      <c r="J15" s="21">
        <f>Bilanca!I22</f>
        <v>60233726</v>
      </c>
      <c r="K15" s="21">
        <f>Bilanca!J22</f>
        <v>57091859</v>
      </c>
    </row>
    <row r="16" spans="1:11" ht="12.75">
      <c r="A16" s="4" t="s">
        <v>2352</v>
      </c>
      <c r="B16" s="19" t="str">
        <f>TEXT(RefStr!C39,"000")</f>
        <v>133</v>
      </c>
      <c r="D16" s="4" t="s">
        <v>1561</v>
      </c>
      <c r="E16" s="4">
        <v>1</v>
      </c>
      <c r="F16" s="4">
        <f>Bilanca!G23</f>
        <v>15</v>
      </c>
      <c r="G16" s="4">
        <f>IF(Bilanca!H23=0,"",Bilanca!H23)</f>
      </c>
      <c r="H16" s="20">
        <f t="shared" si="0"/>
        <v>6407059.949999999</v>
      </c>
      <c r="I16" s="21">
        <f t="shared" si="1"/>
        <v>0</v>
      </c>
      <c r="J16" s="21">
        <f>Bilanca!I23</f>
        <v>15706317</v>
      </c>
      <c r="K16" s="21">
        <f>Bilanca!J23</f>
        <v>13503708</v>
      </c>
    </row>
    <row r="17" spans="1:11" ht="12.75">
      <c r="A17" s="4" t="s">
        <v>2351</v>
      </c>
      <c r="B17" s="19" t="str">
        <f>RefStr!C42</f>
        <v>6419</v>
      </c>
      <c r="D17" s="4" t="s">
        <v>1561</v>
      </c>
      <c r="E17" s="4">
        <v>1</v>
      </c>
      <c r="F17" s="4">
        <f>Bilanca!G24</f>
        <v>16</v>
      </c>
      <c r="G17" s="4">
        <f>IF(Bilanca!H24=0,"",Bilanca!H24)</f>
      </c>
      <c r="H17" s="20">
        <f t="shared" si="0"/>
        <v>16074038.399999999</v>
      </c>
      <c r="I17" s="21">
        <f t="shared" si="1"/>
        <v>0</v>
      </c>
      <c r="J17" s="21">
        <f>Bilanca!I24</f>
        <v>19292632</v>
      </c>
      <c r="K17" s="21">
        <f>Bilanca!J24</f>
        <v>40585054</v>
      </c>
    </row>
    <row r="18" spans="1:11" ht="12.75">
      <c r="A18" s="4" t="s">
        <v>2656</v>
      </c>
      <c r="B18" s="19" t="str">
        <f>IF(RefStr!C21&lt;&gt;"",RefStr!C21,"")</f>
        <v>NE</v>
      </c>
      <c r="D18" s="4" t="s">
        <v>1561</v>
      </c>
      <c r="E18" s="4">
        <v>1</v>
      </c>
      <c r="F18" s="4">
        <f>Bilanca!G25</f>
        <v>17</v>
      </c>
      <c r="G18" s="4">
        <f>IF(Bilanca!H25=0,"",Bilanca!H25)</f>
      </c>
      <c r="H18" s="20">
        <f t="shared" si="0"/>
        <v>1591310985.18</v>
      </c>
      <c r="I18" s="21">
        <f t="shared" si="1"/>
        <v>0</v>
      </c>
      <c r="J18" s="21">
        <f>Bilanca!I25</f>
        <v>3112272966</v>
      </c>
      <c r="K18" s="21">
        <f>Bilanca!J25</f>
        <v>3124189944</v>
      </c>
    </row>
    <row r="19" spans="1:11" ht="12.75">
      <c r="A19" s="4" t="s">
        <v>2657</v>
      </c>
      <c r="B19" s="19" t="str">
        <f>IF(RefStr!I21&lt;&gt;"",RefStr!I21,"")</f>
        <v>DA</v>
      </c>
      <c r="D19" s="4" t="s">
        <v>1561</v>
      </c>
      <c r="E19" s="4">
        <v>1</v>
      </c>
      <c r="F19" s="4">
        <f>Bilanca!G27</f>
        <v>18</v>
      </c>
      <c r="G19" s="4">
        <f>IF(Bilanca!H27=0,"",Bilanca!H27)</f>
      </c>
      <c r="H19" s="20">
        <f t="shared" si="0"/>
        <v>157242749.76</v>
      </c>
      <c r="I19" s="21">
        <f t="shared" si="1"/>
        <v>0</v>
      </c>
      <c r="J19" s="21">
        <f>Bilanca!I27</f>
        <v>292930500</v>
      </c>
      <c r="K19" s="21">
        <f>Bilanca!J27</f>
        <v>290320166</v>
      </c>
    </row>
    <row r="20" spans="1:11" ht="12.75">
      <c r="A20" s="4" t="s">
        <v>2658</v>
      </c>
      <c r="B20" s="19">
        <f>RefStr!C19</f>
        <v>2</v>
      </c>
      <c r="D20" s="4" t="s">
        <v>1561</v>
      </c>
      <c r="E20" s="4">
        <v>1</v>
      </c>
      <c r="F20" s="4">
        <f>Bilanca!G28</f>
        <v>19</v>
      </c>
      <c r="G20" s="4">
        <f>IF(Bilanca!H28=0,"",Bilanca!H28)</f>
      </c>
      <c r="H20" s="20">
        <f t="shared" si="0"/>
        <v>86986089.94</v>
      </c>
      <c r="I20" s="21">
        <f t="shared" si="1"/>
        <v>0</v>
      </c>
      <c r="J20" s="21">
        <f>Bilanca!I28</f>
        <v>130000000</v>
      </c>
      <c r="K20" s="21">
        <f>Bilanca!J28</f>
        <v>163910763</v>
      </c>
    </row>
    <row r="21" spans="1:11" ht="12.75">
      <c r="A21" s="4" t="s">
        <v>2659</v>
      </c>
      <c r="B21" s="19">
        <f>IF(RefStr!C50&gt;0,IF(RefStr!C50=1,4,RefStr!C50-1),RefStr!C50)</f>
        <v>3</v>
      </c>
      <c r="D21" s="4" t="s">
        <v>1561</v>
      </c>
      <c r="E21" s="4">
        <v>1</v>
      </c>
      <c r="F21" s="4">
        <f>Bilanca!G29</f>
        <v>20</v>
      </c>
      <c r="G21" s="4">
        <f>IF(Bilanca!H29=0,"",Bilanca!H29)</f>
      </c>
      <c r="H21" s="20">
        <f t="shared" si="0"/>
        <v>83149861.2</v>
      </c>
      <c r="I21" s="21">
        <f t="shared" si="1"/>
        <v>0</v>
      </c>
      <c r="J21" s="21">
        <f>Bilanca!I29</f>
        <v>162930500</v>
      </c>
      <c r="K21" s="21">
        <f>Bilanca!J29</f>
        <v>126409403</v>
      </c>
    </row>
    <row r="22" spans="1:11" ht="12.75">
      <c r="A22" s="4" t="s">
        <v>2660</v>
      </c>
      <c r="B22" s="19">
        <f>RefStr!C52</f>
        <v>11</v>
      </c>
      <c r="D22" s="4" t="s">
        <v>1561</v>
      </c>
      <c r="E22" s="4">
        <v>1</v>
      </c>
      <c r="F22" s="4">
        <f>Bilanca!G30</f>
        <v>21</v>
      </c>
      <c r="G22" s="4">
        <f>IF(Bilanca!H30=0,"",Bilanca!H30)</f>
      </c>
      <c r="H22" s="20">
        <f t="shared" si="0"/>
        <v>1606710907.83</v>
      </c>
      <c r="I22" s="21">
        <f t="shared" si="1"/>
        <v>0</v>
      </c>
      <c r="J22" s="21">
        <f>Bilanca!I30</f>
        <v>2567742565</v>
      </c>
      <c r="K22" s="21">
        <f>Bilanca!J30</f>
        <v>2541630879</v>
      </c>
    </row>
    <row r="23" spans="1:11" ht="12.75">
      <c r="A23" s="4" t="s">
        <v>2661</v>
      </c>
      <c r="B23" s="19">
        <f>RefStr!C54</f>
        <v>100</v>
      </c>
      <c r="D23" s="4" t="s">
        <v>1561</v>
      </c>
      <c r="E23" s="4">
        <v>1</v>
      </c>
      <c r="F23" s="4">
        <f>Bilanca!G31</f>
        <v>22</v>
      </c>
      <c r="G23" s="4">
        <f>IF(Bilanca!H31=0,"",Bilanca!H31)</f>
      </c>
      <c r="H23" s="20">
        <f t="shared" si="0"/>
        <v>229241045.44</v>
      </c>
      <c r="I23" s="21">
        <f t="shared" si="1"/>
        <v>0</v>
      </c>
      <c r="J23" s="21">
        <f>Bilanca!I31</f>
        <v>364667464</v>
      </c>
      <c r="K23" s="21">
        <f>Bilanca!J31</f>
        <v>338668644</v>
      </c>
    </row>
    <row r="24" spans="1:11" ht="12.75">
      <c r="A24" s="4" t="s">
        <v>2662</v>
      </c>
      <c r="B24" s="19">
        <f>RefStr!F54</f>
        <v>0</v>
      </c>
      <c r="D24" s="4" t="s">
        <v>1561</v>
      </c>
      <c r="E24" s="4">
        <v>1</v>
      </c>
      <c r="F24" s="4">
        <f>Bilanca!G32</f>
        <v>23</v>
      </c>
      <c r="G24" s="4">
        <f>IF(Bilanca!H32=0,"",Bilanca!H32)</f>
      </c>
      <c r="H24" s="20">
        <f t="shared" si="0"/>
        <v>83577121.47</v>
      </c>
      <c r="I24" s="21">
        <f t="shared" si="1"/>
        <v>0</v>
      </c>
      <c r="J24" s="21">
        <f>Bilanca!I32</f>
        <v>127766859</v>
      </c>
      <c r="K24" s="21">
        <f>Bilanca!J32</f>
        <v>117805965</v>
      </c>
    </row>
    <row r="25" spans="1:11" ht="12.75">
      <c r="A25" s="4" t="s">
        <v>2663</v>
      </c>
      <c r="B25" s="19">
        <f>RefStr!C56</f>
        <v>221</v>
      </c>
      <c r="D25" s="4" t="s">
        <v>1561</v>
      </c>
      <c r="E25" s="4">
        <v>1</v>
      </c>
      <c r="F25" s="4">
        <f>Bilanca!G33</f>
        <v>24</v>
      </c>
      <c r="G25" s="4">
        <f>IF(Bilanca!H33=0,"",Bilanca!H33)</f>
      </c>
      <c r="H25" s="20">
        <f t="shared" si="0"/>
        <v>1498948987.6799998</v>
      </c>
      <c r="I25" s="21">
        <f t="shared" si="1"/>
        <v>0</v>
      </c>
      <c r="J25" s="21">
        <f>Bilanca!I33</f>
        <v>2075308242</v>
      </c>
      <c r="K25" s="21">
        <f>Bilanca!J33</f>
        <v>2085156270</v>
      </c>
    </row>
    <row r="26" spans="1:11" ht="12.75">
      <c r="A26" s="4" t="s">
        <v>2664</v>
      </c>
      <c r="B26" s="19">
        <f>RefStr!F56</f>
        <v>217</v>
      </c>
      <c r="D26" s="4" t="s">
        <v>1561</v>
      </c>
      <c r="E26" s="4">
        <v>1</v>
      </c>
      <c r="F26" s="4">
        <f>Bilanca!G34</f>
        <v>25</v>
      </c>
      <c r="G26" s="4">
        <f>IF(Bilanca!H34=0,"",Bilanca!H34)</f>
      </c>
      <c r="H26" s="20">
        <f t="shared" si="0"/>
        <v>0</v>
      </c>
      <c r="I26" s="21">
        <f t="shared" si="1"/>
        <v>0</v>
      </c>
      <c r="J26" s="21">
        <f>Bilanca!I34</f>
        <v>0</v>
      </c>
      <c r="K26" s="21">
        <f>Bilanca!J34</f>
        <v>0</v>
      </c>
    </row>
    <row r="27" spans="1:11" ht="12.75">
      <c r="A27" s="4" t="s">
        <v>2665</v>
      </c>
      <c r="B27" s="19">
        <f>RefStr!C58</f>
        <v>209</v>
      </c>
      <c r="D27" s="4" t="s">
        <v>1561</v>
      </c>
      <c r="E27" s="4">
        <v>1</v>
      </c>
      <c r="F27" s="4">
        <f>Bilanca!G35</f>
        <v>26</v>
      </c>
      <c r="G27" s="4">
        <f>IF(Bilanca!H35=0,"",Bilanca!H35)</f>
      </c>
      <c r="H27" s="20">
        <f t="shared" si="0"/>
        <v>0</v>
      </c>
      <c r="I27" s="21">
        <f t="shared" si="1"/>
        <v>0</v>
      </c>
      <c r="J27" s="21">
        <f>Bilanca!I35</f>
        <v>0</v>
      </c>
      <c r="K27" s="21">
        <f>Bilanca!J35</f>
        <v>0</v>
      </c>
    </row>
    <row r="28" spans="1:11" ht="12.75">
      <c r="A28" s="4" t="s">
        <v>2666</v>
      </c>
      <c r="B28" s="19">
        <f>RefStr!F58</f>
        <v>208</v>
      </c>
      <c r="D28" s="4" t="s">
        <v>1561</v>
      </c>
      <c r="E28" s="4">
        <v>1</v>
      </c>
      <c r="F28" s="4">
        <f>Bilanca!G36</f>
        <v>27</v>
      </c>
      <c r="G28" s="4">
        <f>IF(Bilanca!H36=0,"",Bilanca!H36)</f>
      </c>
      <c r="H28" s="20">
        <f t="shared" si="0"/>
        <v>0</v>
      </c>
      <c r="I28" s="21">
        <f t="shared" si="1"/>
        <v>0</v>
      </c>
      <c r="J28" s="21">
        <f>Bilanca!I36</f>
        <v>0</v>
      </c>
      <c r="K28" s="21">
        <f>Bilanca!J36</f>
        <v>0</v>
      </c>
    </row>
    <row r="29" spans="1:11" ht="12.75">
      <c r="A29" s="4" t="s">
        <v>2667</v>
      </c>
      <c r="B29" s="19">
        <f>RefStr!C60</f>
        <v>12</v>
      </c>
      <c r="D29" s="4" t="s">
        <v>1561</v>
      </c>
      <c r="E29" s="4">
        <v>1</v>
      </c>
      <c r="F29" s="4">
        <f>Bilanca!G37</f>
        <v>28</v>
      </c>
      <c r="G29" s="4">
        <f>IF(Bilanca!H37=0,"",Bilanca!H37)</f>
      </c>
      <c r="H29" s="20">
        <f t="shared" si="0"/>
        <v>724.0799999999999</v>
      </c>
      <c r="I29" s="21">
        <f t="shared" si="1"/>
        <v>0</v>
      </c>
      <c r="J29" s="21">
        <f>Bilanca!I37</f>
        <v>2586</v>
      </c>
      <c r="K29" s="21">
        <f>Bilanca!J37</f>
        <v>0</v>
      </c>
    </row>
    <row r="30" spans="1:11" ht="12.75">
      <c r="A30" s="4" t="s">
        <v>2668</v>
      </c>
      <c r="B30" s="19">
        <f>RefStr!F60</f>
        <v>12</v>
      </c>
      <c r="D30" s="4" t="s">
        <v>1561</v>
      </c>
      <c r="E30" s="4">
        <v>1</v>
      </c>
      <c r="F30" s="4">
        <f>Bilanca!G38</f>
        <v>29</v>
      </c>
      <c r="G30" s="4">
        <f>IF(Bilanca!H38=0,"",Bilanca!H38)</f>
      </c>
      <c r="H30" s="20">
        <f t="shared" si="0"/>
        <v>0</v>
      </c>
      <c r="I30" s="21">
        <f t="shared" si="1"/>
        <v>0</v>
      </c>
      <c r="J30" s="21">
        <f>Bilanca!I38</f>
        <v>0</v>
      </c>
      <c r="K30" s="21">
        <f>Bilanca!J38</f>
        <v>0</v>
      </c>
    </row>
    <row r="31" spans="1:11" ht="12.75">
      <c r="A31" s="4" t="s">
        <v>2669</v>
      </c>
      <c r="B31" s="19" t="s">
        <v>1714</v>
      </c>
      <c r="D31" s="4" t="s">
        <v>1561</v>
      </c>
      <c r="E31" s="4">
        <v>1</v>
      </c>
      <c r="F31" s="4">
        <f>Bilanca!G39</f>
        <v>30</v>
      </c>
      <c r="G31" s="4">
        <f>IF(Bilanca!H39=0,"",Bilanca!H39)</f>
      </c>
      <c r="H31" s="20">
        <f t="shared" si="0"/>
        <v>0</v>
      </c>
      <c r="I31" s="21">
        <f t="shared" si="1"/>
        <v>0</v>
      </c>
      <c r="J31" s="21">
        <f>Bilanca!I39</f>
        <v>0</v>
      </c>
      <c r="K31" s="21">
        <f>Bilanca!J39</f>
        <v>0</v>
      </c>
    </row>
    <row r="32" spans="1:11" ht="12.75">
      <c r="A32" s="4" t="s">
        <v>2670</v>
      </c>
      <c r="B32" s="19" t="s">
        <v>1714</v>
      </c>
      <c r="D32" s="4" t="s">
        <v>1561</v>
      </c>
      <c r="E32" s="4">
        <v>1</v>
      </c>
      <c r="F32" s="4">
        <f>Bilanca!G40</f>
        <v>31</v>
      </c>
      <c r="G32" s="4">
        <f>IF(Bilanca!H40=0,"",Bilanca!H40)</f>
      </c>
      <c r="H32" s="20">
        <f t="shared" si="0"/>
        <v>0</v>
      </c>
      <c r="I32" s="21">
        <f t="shared" si="1"/>
        <v>0</v>
      </c>
      <c r="J32" s="21">
        <f>Bilanca!I40</f>
        <v>0</v>
      </c>
      <c r="K32" s="21">
        <f>Bilanca!J40</f>
        <v>0</v>
      </c>
    </row>
    <row r="33" spans="1:11" ht="12.75">
      <c r="A33" s="4" t="s">
        <v>2671</v>
      </c>
      <c r="B33" s="19" t="s">
        <v>1714</v>
      </c>
      <c r="D33" s="4" t="s">
        <v>1561</v>
      </c>
      <c r="E33" s="4">
        <v>1</v>
      </c>
      <c r="F33" s="4">
        <f>Bilanca!G41</f>
        <v>32</v>
      </c>
      <c r="G33" s="4">
        <f>IF(Bilanca!H41=0,"",Bilanca!H41)</f>
      </c>
      <c r="H33" s="20">
        <f t="shared" si="0"/>
        <v>0</v>
      </c>
      <c r="I33" s="21">
        <f t="shared" si="1"/>
        <v>0</v>
      </c>
      <c r="J33" s="21">
        <f>Bilanca!I41</f>
        <v>0</v>
      </c>
      <c r="K33" s="21">
        <f>Bilanca!J41</f>
        <v>0</v>
      </c>
    </row>
    <row r="34" spans="1:11" ht="12.75">
      <c r="A34" s="4" t="s">
        <v>2672</v>
      </c>
      <c r="B34" s="19" t="s">
        <v>1714</v>
      </c>
      <c r="D34" s="4" t="s">
        <v>1561</v>
      </c>
      <c r="E34" s="4">
        <v>1</v>
      </c>
      <c r="F34" s="4">
        <f>Bilanca!G42</f>
        <v>33</v>
      </c>
      <c r="G34" s="4">
        <f>IF(Bilanca!H42=0,"",Bilanca!H42)</f>
      </c>
      <c r="H34" s="20">
        <f t="shared" si="0"/>
        <v>0</v>
      </c>
      <c r="I34" s="21">
        <f t="shared" si="1"/>
        <v>0</v>
      </c>
      <c r="J34" s="21">
        <f>Bilanca!I42</f>
        <v>0</v>
      </c>
      <c r="K34" s="21">
        <f>Bilanca!J42</f>
        <v>0</v>
      </c>
    </row>
    <row r="35" spans="1:11" ht="12.75">
      <c r="A35" s="4" t="s">
        <v>2673</v>
      </c>
      <c r="B35" s="19" t="s">
        <v>1714</v>
      </c>
      <c r="D35" s="4" t="s">
        <v>1561</v>
      </c>
      <c r="E35" s="4">
        <v>1</v>
      </c>
      <c r="F35" s="4">
        <f>Bilanca!G43</f>
        <v>34</v>
      </c>
      <c r="G35" s="4">
        <f>IF(Bilanca!H43=0,"",Bilanca!H43)</f>
      </c>
      <c r="H35" s="20">
        <f t="shared" si="0"/>
        <v>93423187.53999999</v>
      </c>
      <c r="I35" s="21">
        <f t="shared" si="1"/>
        <v>0</v>
      </c>
      <c r="J35" s="21">
        <f>Bilanca!I43</f>
        <v>69566285</v>
      </c>
      <c r="K35" s="21">
        <f>Bilanca!J43</f>
        <v>102603898</v>
      </c>
    </row>
    <row r="36" spans="1:11" ht="12.75">
      <c r="A36" s="4" t="s">
        <v>2674</v>
      </c>
      <c r="B36" s="19" t="s">
        <v>1714</v>
      </c>
      <c r="D36" s="4" t="s">
        <v>1561</v>
      </c>
      <c r="E36" s="4">
        <v>1</v>
      </c>
      <c r="F36" s="4">
        <f>Bilanca!G44</f>
        <v>35</v>
      </c>
      <c r="G36" s="4">
        <f>IF(Bilanca!H44=0,"",Bilanca!H44)</f>
      </c>
      <c r="H36" s="20">
        <f t="shared" si="0"/>
        <v>3079773137.7</v>
      </c>
      <c r="I36" s="21">
        <f t="shared" si="1"/>
        <v>0</v>
      </c>
      <c r="J36" s="21">
        <f>Bilanca!I44</f>
        <v>2930241936</v>
      </c>
      <c r="K36" s="21">
        <f>Bilanca!J44</f>
        <v>2934554943</v>
      </c>
    </row>
    <row r="37" spans="1:11" ht="12.75">
      <c r="A37" s="4" t="s">
        <v>2675</v>
      </c>
      <c r="B37" s="19">
        <f>RefStr!B64</f>
        <v>0</v>
      </c>
      <c r="D37" s="4" t="s">
        <v>1561</v>
      </c>
      <c r="E37" s="4">
        <v>1</v>
      </c>
      <c r="F37" s="4">
        <f>Bilanca!G46</f>
        <v>36</v>
      </c>
      <c r="G37" s="4">
        <f>IF(Bilanca!H46=0,"",Bilanca!H46)</f>
      </c>
      <c r="H37" s="20">
        <f t="shared" si="0"/>
        <v>512568000</v>
      </c>
      <c r="I37" s="21">
        <f t="shared" si="1"/>
        <v>0</v>
      </c>
      <c r="J37" s="21">
        <f>Bilanca!I46</f>
        <v>474600000</v>
      </c>
      <c r="K37" s="21">
        <f>Bilanca!J46</f>
        <v>474600000</v>
      </c>
    </row>
    <row r="38" spans="1:11" ht="12.75">
      <c r="A38" s="4" t="s">
        <v>2676</v>
      </c>
      <c r="B38" s="19">
        <f>RefStr!B66</f>
        <v>0</v>
      </c>
      <c r="D38" s="4" t="s">
        <v>1561</v>
      </c>
      <c r="E38" s="4">
        <v>1</v>
      </c>
      <c r="F38" s="4">
        <f>Bilanca!G47</f>
        <v>37</v>
      </c>
      <c r="G38" s="4">
        <f>IF(Bilanca!H47=0,"",Bilanca!H47)</f>
      </c>
      <c r="H38" s="20">
        <f t="shared" si="0"/>
        <v>-4387298.3100000005</v>
      </c>
      <c r="I38" s="21">
        <f t="shared" si="1"/>
        <v>0</v>
      </c>
      <c r="J38" s="21">
        <f>Bilanca!I47</f>
        <v>-15133785</v>
      </c>
      <c r="K38" s="21">
        <f>Bilanca!J47</f>
        <v>1638111</v>
      </c>
    </row>
    <row r="39" spans="1:11" ht="12.75">
      <c r="A39" s="4" t="s">
        <v>2677</v>
      </c>
      <c r="B39" s="19" t="str">
        <f>RefStr!C68</f>
        <v>Monika Rajković</v>
      </c>
      <c r="D39" s="4" t="s">
        <v>1561</v>
      </c>
      <c r="E39" s="4">
        <v>1</v>
      </c>
      <c r="F39" s="4">
        <f>Bilanca!G48</f>
        <v>38</v>
      </c>
      <c r="G39" s="4">
        <f>IF(Bilanca!H48=0,"",Bilanca!H48)</f>
      </c>
      <c r="H39" s="20">
        <f t="shared" si="0"/>
        <v>-327327713.22</v>
      </c>
      <c r="I39" s="21">
        <f t="shared" si="1"/>
        <v>0</v>
      </c>
      <c r="J39" s="21">
        <f>Bilanca!I48</f>
        <v>-277040383</v>
      </c>
      <c r="K39" s="21">
        <f>Bilanca!J48</f>
        <v>-292174168</v>
      </c>
    </row>
    <row r="40" spans="1:11" ht="12.75">
      <c r="A40" s="4" t="s">
        <v>2678</v>
      </c>
      <c r="B40" s="19" t="str">
        <f>TRIM(RefStr!C70)</f>
        <v>01/2391-679</v>
      </c>
      <c r="D40" s="4" t="s">
        <v>1561</v>
      </c>
      <c r="E40" s="4">
        <v>1</v>
      </c>
      <c r="F40" s="4">
        <f>Bilanca!G49</f>
        <v>39</v>
      </c>
      <c r="G40" s="4">
        <f>IF(Bilanca!H49=0,"",Bilanca!H49)</f>
      </c>
      <c r="H40" s="20">
        <f t="shared" si="0"/>
        <v>0</v>
      </c>
      <c r="I40" s="21">
        <f t="shared" si="1"/>
        <v>0</v>
      </c>
      <c r="J40" s="21">
        <f>Bilanca!I49</f>
        <v>0</v>
      </c>
      <c r="K40" s="21">
        <f>Bilanca!J49</f>
        <v>0</v>
      </c>
    </row>
    <row r="41" spans="1:11" ht="12.75">
      <c r="A41" s="4" t="s">
        <v>2679</v>
      </c>
      <c r="B41" s="19" t="s">
        <v>2052</v>
      </c>
      <c r="D41" s="4" t="s">
        <v>1561</v>
      </c>
      <c r="E41" s="4">
        <v>1</v>
      </c>
      <c r="F41" s="4">
        <f>Bilanca!G50</f>
        <v>40</v>
      </c>
      <c r="G41" s="4">
        <f>IF(Bilanca!H50=0,"",Bilanca!H50)</f>
      </c>
      <c r="H41" s="20">
        <f t="shared" si="0"/>
        <v>0</v>
      </c>
      <c r="I41" s="21">
        <f t="shared" si="1"/>
        <v>0</v>
      </c>
      <c r="J41" s="21">
        <f>Bilanca!I50</f>
        <v>0</v>
      </c>
      <c r="K41" s="21">
        <f>Bilanca!J50</f>
        <v>0</v>
      </c>
    </row>
    <row r="42" spans="1:11" ht="12.75">
      <c r="A42" s="4" t="s">
        <v>2561</v>
      </c>
      <c r="B42" s="19" t="str">
        <f>TRIM(RefStr!C72)</f>
        <v>monika.rajkovic@croatiabanka.hr</v>
      </c>
      <c r="D42" s="4" t="s">
        <v>1561</v>
      </c>
      <c r="E42" s="4">
        <v>1</v>
      </c>
      <c r="F42" s="4">
        <f>Bilanca!G51</f>
        <v>41</v>
      </c>
      <c r="G42" s="4">
        <f>IF(Bilanca!H51=0,"",Bilanca!H51)</f>
      </c>
      <c r="H42" s="20">
        <f t="shared" si="0"/>
        <v>4406398.74</v>
      </c>
      <c r="I42" s="21">
        <f t="shared" si="1"/>
        <v>0</v>
      </c>
      <c r="J42" s="21">
        <f>Bilanca!I51</f>
        <v>-394802</v>
      </c>
      <c r="K42" s="21">
        <f>Bilanca!J51</f>
        <v>5571058</v>
      </c>
    </row>
    <row r="43" spans="1:11" ht="12.75">
      <c r="A43" s="4" t="s">
        <v>408</v>
      </c>
      <c r="B43" s="19" t="str">
        <f>TRIM(RefStr!A75)</f>
        <v>Mladen Duliba</v>
      </c>
      <c r="D43" s="4" t="s">
        <v>1561</v>
      </c>
      <c r="E43" s="4">
        <v>1</v>
      </c>
      <c r="F43" s="4">
        <f>Bilanca!G52</f>
        <v>42</v>
      </c>
      <c r="G43" s="4">
        <f>IF(Bilanca!H52=0,"",Bilanca!H52)</f>
      </c>
      <c r="H43" s="20">
        <f t="shared" si="0"/>
        <v>235746433.44</v>
      </c>
      <c r="I43" s="21">
        <f t="shared" si="1"/>
        <v>0</v>
      </c>
      <c r="J43" s="21">
        <f>Bilanca!I52</f>
        <v>182031030</v>
      </c>
      <c r="K43" s="21">
        <f>Bilanca!J52</f>
        <v>189635001</v>
      </c>
    </row>
    <row r="44" spans="1:11" ht="12.75">
      <c r="A44" s="4" t="s">
        <v>215</v>
      </c>
      <c r="B44" s="19" t="str">
        <f>IF(RefStr!C4&lt;&gt;"",TEXT(RefStr!C4,"YYYYMMDD"),"")</f>
        <v>20160101</v>
      </c>
      <c r="D44" s="4" t="s">
        <v>1561</v>
      </c>
      <c r="E44" s="4">
        <v>1</v>
      </c>
      <c r="F44" s="4">
        <f>Bilanca!G53</f>
        <v>43</v>
      </c>
      <c r="G44" s="4">
        <f>IF(Bilanca!H53=0,"",Bilanca!H53)</f>
      </c>
      <c r="H44" s="20">
        <f t="shared" si="0"/>
        <v>4025080727.2200003</v>
      </c>
      <c r="I44" s="21">
        <f t="shared" si="1"/>
        <v>0</v>
      </c>
      <c r="J44" s="21">
        <f>Bilanca!I53</f>
        <v>3112272966</v>
      </c>
      <c r="K44" s="21">
        <f>Bilanca!J53</f>
        <v>3124189944</v>
      </c>
    </row>
    <row r="45" spans="1:11" ht="12.75">
      <c r="A45" s="4" t="s">
        <v>216</v>
      </c>
      <c r="B45" s="19" t="str">
        <f>IF(RefStr!F4&lt;&gt;"",TEXT(RefStr!F4,"YYYYMMDD"),"")</f>
        <v>20161231</v>
      </c>
      <c r="D45" s="4" t="s">
        <v>1561</v>
      </c>
      <c r="E45" s="4">
        <v>1</v>
      </c>
      <c r="F45" s="4">
        <f>Bilanca!G55</f>
        <v>44</v>
      </c>
      <c r="G45" s="4">
        <f>IF(Bilanca!H55=0,"",Bilanca!H55)</f>
      </c>
      <c r="H45" s="20">
        <f t="shared" si="0"/>
        <v>0</v>
      </c>
      <c r="I45" s="21">
        <f t="shared" si="1"/>
        <v>0</v>
      </c>
      <c r="J45" s="21">
        <f>Bilanca!I55</f>
        <v>0</v>
      </c>
      <c r="K45" s="21">
        <f>Bilanca!J55</f>
        <v>0</v>
      </c>
    </row>
    <row r="46" spans="1:11" ht="12.75">
      <c r="A46" s="4" t="s">
        <v>2301</v>
      </c>
      <c r="B46" s="19" t="str">
        <f>IF(Bilanca!Q1&lt;&gt;0,"DA","NE")</f>
        <v>DA</v>
      </c>
      <c r="D46" s="4" t="s">
        <v>1561</v>
      </c>
      <c r="E46" s="4">
        <v>1</v>
      </c>
      <c r="F46" s="4">
        <f>Bilanca!G56</f>
        <v>45</v>
      </c>
      <c r="G46" s="4">
        <f>IF(Bilanca!H56=0,"",Bilanca!H56)</f>
      </c>
      <c r="H46" s="20">
        <f>J46/100*F46+2*K46/100*F46</f>
        <v>0</v>
      </c>
      <c r="I46" s="21">
        <f>ABS(ROUND(J46,0)-J46)+ABS(ROUND(K46,0)-K46)</f>
        <v>0</v>
      </c>
      <c r="J46" s="21">
        <f>Bilanca!I56</f>
        <v>0</v>
      </c>
      <c r="K46" s="21">
        <f>Bilanca!J56</f>
        <v>0</v>
      </c>
    </row>
    <row r="47" spans="1:11" ht="12.75">
      <c r="A47" s="4" t="s">
        <v>489</v>
      </c>
      <c r="B47" s="19" t="str">
        <f>IF(RDG!Q1&lt;&gt;0,"DA","NE")</f>
        <v>DA</v>
      </c>
      <c r="D47" s="4" t="s">
        <v>1561</v>
      </c>
      <c r="E47" s="4">
        <v>1</v>
      </c>
      <c r="F47" s="4">
        <f>Bilanca!G57</f>
        <v>46</v>
      </c>
      <c r="G47" s="4">
        <f>IF(Bilanca!H57=0,"",Bilanca!H57)</f>
      </c>
      <c r="H47" s="20">
        <f>J47/100*F47+2*K47/100*F47</f>
        <v>0</v>
      </c>
      <c r="I47" s="21">
        <f>ABS(ROUND(J47,0)-J47)+ABS(ROUND(K47,0)-K47)</f>
        <v>0</v>
      </c>
      <c r="J47" s="21">
        <f>Bilanca!I57</f>
        <v>0</v>
      </c>
      <c r="K47" s="21">
        <f>Bilanca!J57</f>
        <v>0</v>
      </c>
    </row>
    <row r="48" spans="1:11" ht="12.75">
      <c r="A48" s="4" t="s">
        <v>2302</v>
      </c>
      <c r="B48" s="19" t="str">
        <f>RefStr!I54</f>
        <v>NE</v>
      </c>
      <c r="D48" s="4" t="s">
        <v>1209</v>
      </c>
      <c r="E48" s="4">
        <v>2</v>
      </c>
      <c r="F48" s="4">
        <f>RDG!G8</f>
        <v>47</v>
      </c>
      <c r="G48" s="4">
        <f>IF(RDG!H8=0,"",RDG!H8)</f>
      </c>
      <c r="H48" s="20">
        <f>J48/100*F48+2*K48/100*F48</f>
        <v>193351308.14000002</v>
      </c>
      <c r="I48" s="4">
        <f>ABS(ROUND(J48,0)-J48)+ABS(ROUND(K48,0)-K48)</f>
        <v>0</v>
      </c>
      <c r="J48" s="21">
        <f>RDG!I8</f>
        <v>148904096</v>
      </c>
      <c r="K48" s="21">
        <f>RDG!J8</f>
        <v>131240833</v>
      </c>
    </row>
    <row r="49" spans="1:11" ht="12.75">
      <c r="A49" s="4" t="s">
        <v>2304</v>
      </c>
      <c r="B49" s="19" t="str">
        <f>IF(NT_I!Q1&lt;&gt;0,"DA","NE")</f>
        <v>DA</v>
      </c>
      <c r="D49" s="4" t="s">
        <v>1209</v>
      </c>
      <c r="E49" s="4">
        <v>2</v>
      </c>
      <c r="F49" s="4">
        <f>RDG!G9</f>
        <v>48</v>
      </c>
      <c r="G49" s="4">
        <f>IF(RDG!H9=0,"",RDG!H9)</f>
      </c>
      <c r="H49" s="20">
        <f>J49/100*F49+2*K49/100*F49</f>
        <v>106314926.88</v>
      </c>
      <c r="I49" s="4">
        <f>ABS(ROUND(J49,0)-J49)+ABS(ROUND(K49,0)-K49)</f>
        <v>0</v>
      </c>
      <c r="J49" s="21">
        <f>RDG!I9</f>
        <v>82908835</v>
      </c>
      <c r="K49" s="21">
        <f>RDG!J9</f>
        <v>69290298</v>
      </c>
    </row>
    <row r="50" spans="1:11" ht="12.75">
      <c r="A50" s="4" t="s">
        <v>2303</v>
      </c>
      <c r="B50" s="19" t="str">
        <f>IF(NT_D!Q1&lt;&gt;0,"DA","NE")</f>
        <v>NE</v>
      </c>
      <c r="D50" s="4" t="s">
        <v>1209</v>
      </c>
      <c r="E50" s="4">
        <v>2</v>
      </c>
      <c r="F50" s="4">
        <f>RDG!G10</f>
        <v>49</v>
      </c>
      <c r="G50" s="4">
        <f>IF(RDG!H10=0,"",RDG!H10)</f>
      </c>
      <c r="H50" s="20">
        <f aca="true" t="shared" si="2" ref="H50:H111">J50/100*F50+2*K50/100*F50</f>
        <v>93049202.19</v>
      </c>
      <c r="I50" s="4">
        <f aca="true" t="shared" si="3" ref="I50:I111">ABS(ROUND(J50,0)-J50)+ABS(ROUND(K50,0)-K50)</f>
        <v>0</v>
      </c>
      <c r="J50" s="21">
        <f>RDG!I10</f>
        <v>65995261</v>
      </c>
      <c r="K50" s="21">
        <f>RDG!J10</f>
        <v>61950535</v>
      </c>
    </row>
    <row r="51" spans="1:11" ht="12.75">
      <c r="A51" s="4" t="s">
        <v>2066</v>
      </c>
      <c r="B51" s="19" t="str">
        <f>RefStr!I60</f>
        <v>DA</v>
      </c>
      <c r="D51" s="4" t="s">
        <v>1209</v>
      </c>
      <c r="E51" s="4">
        <v>2</v>
      </c>
      <c r="F51" s="4">
        <f>RDG!G11</f>
        <v>50</v>
      </c>
      <c r="G51" s="4">
        <f>IF(RDG!H11=0,"",RDG!H11)</f>
      </c>
      <c r="H51" s="20">
        <f t="shared" si="2"/>
        <v>18733093.5</v>
      </c>
      <c r="I51" s="4">
        <f t="shared" si="3"/>
        <v>0</v>
      </c>
      <c r="J51" s="21">
        <f>RDG!I11</f>
        <v>13356861</v>
      </c>
      <c r="K51" s="21">
        <f>RDG!J11</f>
        <v>12054663</v>
      </c>
    </row>
    <row r="52" spans="1:11" ht="12.75">
      <c r="A52" s="4" t="s">
        <v>2680</v>
      </c>
      <c r="B52" s="19" t="s">
        <v>2293</v>
      </c>
      <c r="D52" s="4" t="s">
        <v>1209</v>
      </c>
      <c r="E52" s="4">
        <v>2</v>
      </c>
      <c r="F52" s="4">
        <f>RDG!G12</f>
        <v>51</v>
      </c>
      <c r="G52" s="4">
        <f>IF(RDG!H12=0,"",RDG!H12)</f>
      </c>
      <c r="H52" s="20">
        <f t="shared" si="2"/>
        <v>6942960.4799999995</v>
      </c>
      <c r="I52" s="4">
        <f t="shared" si="3"/>
        <v>0</v>
      </c>
      <c r="J52" s="21">
        <f>RDG!I12</f>
        <v>4893600</v>
      </c>
      <c r="K52" s="21">
        <f>RDG!J12</f>
        <v>4360024</v>
      </c>
    </row>
    <row r="53" spans="1:11" ht="12.75">
      <c r="A53" s="4" t="s">
        <v>2562</v>
      </c>
      <c r="B53" s="19" t="str">
        <f>RefStr!I56</f>
        <v>DA</v>
      </c>
      <c r="D53" s="4" t="s">
        <v>1209</v>
      </c>
      <c r="E53" s="4">
        <v>2</v>
      </c>
      <c r="F53" s="4">
        <f>RDG!G13</f>
        <v>52</v>
      </c>
      <c r="G53" s="4">
        <f>IF(RDG!H13=0,"",RDG!H13)</f>
      </c>
      <c r="H53" s="20">
        <f t="shared" si="2"/>
        <v>12403320.28</v>
      </c>
      <c r="I53" s="4">
        <f t="shared" si="3"/>
        <v>0</v>
      </c>
      <c r="J53" s="21">
        <f>RDG!I13</f>
        <v>8463261</v>
      </c>
      <c r="K53" s="21">
        <f>RDG!J13</f>
        <v>7694639</v>
      </c>
    </row>
    <row r="54" spans="1:11" ht="12.75">
      <c r="A54" s="4" t="s">
        <v>2563</v>
      </c>
      <c r="B54" s="19" t="str">
        <f>RefStr!I62</f>
        <v>DA</v>
      </c>
      <c r="D54" s="4" t="s">
        <v>1209</v>
      </c>
      <c r="E54" s="4">
        <v>2</v>
      </c>
      <c r="F54" s="4">
        <f>RDG!G14</f>
        <v>53</v>
      </c>
      <c r="G54" s="4">
        <f>IF(RDG!H14=0,"",RDG!H14)</f>
      </c>
      <c r="H54" s="20">
        <f t="shared" si="2"/>
        <v>0</v>
      </c>
      <c r="I54" s="4">
        <f t="shared" si="3"/>
        <v>0</v>
      </c>
      <c r="J54" s="21">
        <f>RDG!I14</f>
        <v>0</v>
      </c>
      <c r="K54" s="21">
        <f>RDG!J14</f>
        <v>0</v>
      </c>
    </row>
    <row r="55" spans="1:11" ht="12.75">
      <c r="A55" s="4" t="s">
        <v>2564</v>
      </c>
      <c r="B55" s="19" t="str">
        <f>RefStr!I64</f>
        <v>DA</v>
      </c>
      <c r="D55" s="4" t="s">
        <v>1209</v>
      </c>
      <c r="E55" s="4">
        <v>2</v>
      </c>
      <c r="F55" s="4">
        <f>RDG!G15</f>
        <v>54</v>
      </c>
      <c r="G55" s="4">
        <f>IF(RDG!H15=0,"",RDG!H15)</f>
      </c>
      <c r="H55" s="20">
        <f t="shared" si="2"/>
        <v>5893745.760000001</v>
      </c>
      <c r="I55" s="4">
        <f t="shared" si="3"/>
        <v>0</v>
      </c>
      <c r="J55" s="21">
        <f>RDG!I15</f>
        <v>4104898</v>
      </c>
      <c r="K55" s="21">
        <f>RDG!J15</f>
        <v>3404723</v>
      </c>
    </row>
    <row r="56" spans="1:11" ht="12.75">
      <c r="A56" s="4" t="s">
        <v>2565</v>
      </c>
      <c r="B56" s="19" t="str">
        <f>RefStr!I66</f>
        <v>DA</v>
      </c>
      <c r="D56" s="4" t="s">
        <v>1209</v>
      </c>
      <c r="E56" s="4">
        <v>2</v>
      </c>
      <c r="F56" s="4">
        <f>RDG!G16</f>
        <v>55</v>
      </c>
      <c r="G56" s="4">
        <f>IF(RDG!H16=0,"",RDG!H16)</f>
      </c>
      <c r="H56" s="20">
        <f t="shared" si="2"/>
        <v>1432.1999999999998</v>
      </c>
      <c r="I56" s="4">
        <f t="shared" si="3"/>
        <v>0</v>
      </c>
      <c r="J56" s="21">
        <f>RDG!I16</f>
        <v>-2568</v>
      </c>
      <c r="K56" s="21">
        <f>RDG!J16</f>
        <v>2586</v>
      </c>
    </row>
    <row r="57" spans="1:11" ht="12.75">
      <c r="A57" s="4" t="s">
        <v>2566</v>
      </c>
      <c r="B57" s="19" t="str">
        <f>RefStr!I68</f>
        <v>DA</v>
      </c>
      <c r="D57" s="4" t="s">
        <v>1209</v>
      </c>
      <c r="E57" s="4">
        <v>2</v>
      </c>
      <c r="F57" s="4">
        <f>RDG!G17</f>
        <v>56</v>
      </c>
      <c r="G57" s="4">
        <f>IF(RDG!H17=0,"",RDG!H17)</f>
      </c>
      <c r="H57" s="20">
        <f t="shared" si="2"/>
        <v>0</v>
      </c>
      <c r="I57" s="4">
        <f t="shared" si="3"/>
        <v>0</v>
      </c>
      <c r="J57" s="21">
        <f>RDG!I17</f>
        <v>0</v>
      </c>
      <c r="K57" s="21">
        <f>RDG!J17</f>
        <v>0</v>
      </c>
    </row>
    <row r="58" spans="1:11" ht="12.75">
      <c r="A58" s="4" t="s">
        <v>953</v>
      </c>
      <c r="B58" s="19" t="str">
        <f>IF(Kont!J4&gt;0,"NE","DA")</f>
        <v>DA</v>
      </c>
      <c r="D58" s="4" t="s">
        <v>1209</v>
      </c>
      <c r="E58" s="4">
        <v>2</v>
      </c>
      <c r="F58" s="4">
        <f>RDG!G18</f>
        <v>57</v>
      </c>
      <c r="G58" s="4">
        <f>IF(RDG!H18=0,"",RDG!H18)</f>
      </c>
      <c r="H58" s="20">
        <f t="shared" si="2"/>
        <v>9959664.719999999</v>
      </c>
      <c r="I58" s="4">
        <f t="shared" si="3"/>
        <v>0</v>
      </c>
      <c r="J58" s="21">
        <f>RDG!I18</f>
        <v>4115296</v>
      </c>
      <c r="K58" s="21">
        <f>RDG!J18</f>
        <v>6678900</v>
      </c>
    </row>
    <row r="59" spans="1:11" ht="12.75">
      <c r="A59" s="4" t="s">
        <v>1365</v>
      </c>
      <c r="B59" s="20">
        <f>ABS(SUM(H2:H290)+SUM(RefStr!Q9:Q70))</f>
        <v>16133088128.24</v>
      </c>
      <c r="D59" s="4" t="s">
        <v>1209</v>
      </c>
      <c r="E59" s="4">
        <v>2</v>
      </c>
      <c r="F59" s="4">
        <f>RDG!G19</f>
        <v>58</v>
      </c>
      <c r="G59" s="4">
        <f>IF(RDG!H19=0,"",RDG!H19)</f>
      </c>
      <c r="H59" s="20">
        <f t="shared" si="2"/>
        <v>1189667</v>
      </c>
      <c r="I59" s="4">
        <f t="shared" si="3"/>
        <v>0</v>
      </c>
      <c r="J59" s="21">
        <f>RDG!I19</f>
        <v>0</v>
      </c>
      <c r="K59" s="21">
        <f>RDG!J19</f>
        <v>1025575</v>
      </c>
    </row>
    <row r="60" spans="1:11" ht="12.75">
      <c r="A60" s="4" t="s">
        <v>1264</v>
      </c>
      <c r="B60" s="19" t="s">
        <v>1714</v>
      </c>
      <c r="D60" s="4" t="s">
        <v>1209</v>
      </c>
      <c r="E60" s="4">
        <v>2</v>
      </c>
      <c r="F60" s="4">
        <f>RDG!G20</f>
        <v>59</v>
      </c>
      <c r="G60" s="4">
        <f>IF(RDG!H20=0,"",RDG!H20)</f>
      </c>
      <c r="H60" s="20">
        <f t="shared" si="2"/>
        <v>0</v>
      </c>
      <c r="I60" s="4">
        <f t="shared" si="3"/>
        <v>0</v>
      </c>
      <c r="J60" s="21">
        <f>RDG!I20</f>
        <v>0</v>
      </c>
      <c r="K60" s="21">
        <f>RDG!J20</f>
        <v>0</v>
      </c>
    </row>
    <row r="61" spans="1:11" ht="12.75">
      <c r="A61" s="4" t="s">
        <v>432</v>
      </c>
      <c r="B61" s="20">
        <v>0</v>
      </c>
      <c r="D61" s="4" t="s">
        <v>1209</v>
      </c>
      <c r="E61" s="4">
        <v>2</v>
      </c>
      <c r="F61" s="4">
        <f>RDG!G21</f>
        <v>60</v>
      </c>
      <c r="G61" s="4">
        <f>IF(RDG!H21=0,"",RDG!H21)</f>
      </c>
      <c r="H61" s="20">
        <f t="shared" si="2"/>
        <v>0</v>
      </c>
      <c r="I61" s="4">
        <f t="shared" si="3"/>
        <v>0</v>
      </c>
      <c r="J61" s="21">
        <f>RDG!I21</f>
        <v>0</v>
      </c>
      <c r="K61" s="21">
        <f>RDG!J21</f>
        <v>0</v>
      </c>
    </row>
    <row r="62" spans="1:11" ht="12.75">
      <c r="A62" s="4" t="s">
        <v>1172</v>
      </c>
      <c r="B62" s="19">
        <f>RefStr!I70</f>
        <v>0</v>
      </c>
      <c r="D62" s="4" t="s">
        <v>1209</v>
      </c>
      <c r="E62" s="4">
        <v>2</v>
      </c>
      <c r="F62" s="4">
        <f>RDG!G22</f>
        <v>61</v>
      </c>
      <c r="G62" s="4">
        <f>IF(RDG!H22=0,"",RDG!H22)</f>
      </c>
      <c r="H62" s="20">
        <f t="shared" si="2"/>
        <v>0</v>
      </c>
      <c r="I62" s="4">
        <f t="shared" si="3"/>
        <v>0</v>
      </c>
      <c r="J62" s="21">
        <f>RDG!I22</f>
        <v>0</v>
      </c>
      <c r="K62" s="21">
        <f>RDG!J22</f>
        <v>0</v>
      </c>
    </row>
    <row r="63" spans="1:11" ht="12.75">
      <c r="A63" s="4" t="s">
        <v>2725</v>
      </c>
      <c r="B63" s="19" t="str">
        <f>IF(ISNUMBER(VALUE(RefStr!L21)),TEXT(INT(VALUE(RefStr!L21)),"00000000000"),"")</f>
        <v>11686457780</v>
      </c>
      <c r="D63" s="4" t="s">
        <v>1209</v>
      </c>
      <c r="E63" s="4">
        <v>2</v>
      </c>
      <c r="F63" s="4">
        <f>RDG!G23</f>
        <v>62</v>
      </c>
      <c r="G63" s="4">
        <f>IF(RDG!H23=0,"",RDG!H23)</f>
      </c>
      <c r="H63" s="20">
        <f t="shared" si="2"/>
        <v>-886437.56</v>
      </c>
      <c r="I63" s="4">
        <f t="shared" si="3"/>
        <v>0</v>
      </c>
      <c r="J63" s="21">
        <f>RDG!I23</f>
        <v>-449118</v>
      </c>
      <c r="K63" s="21">
        <f>RDG!J23</f>
        <v>-490310</v>
      </c>
    </row>
    <row r="64" spans="1:11" ht="12.75">
      <c r="A64" s="4" t="s">
        <v>948</v>
      </c>
      <c r="B64" s="19" t="str">
        <f>RefStr!N6</f>
        <v>DA</v>
      </c>
      <c r="D64" s="4" t="s">
        <v>1209</v>
      </c>
      <c r="E64" s="4">
        <v>2</v>
      </c>
      <c r="F64" s="4">
        <f>RDG!G24</f>
        <v>63</v>
      </c>
      <c r="G64" s="4">
        <f>IF(RDG!H24=0,"",RDG!H24)</f>
      </c>
      <c r="H64" s="20">
        <f t="shared" si="2"/>
        <v>14547433.32</v>
      </c>
      <c r="I64" s="4">
        <f t="shared" si="3"/>
        <v>0</v>
      </c>
      <c r="J64" s="21">
        <f>RDG!I24</f>
        <v>8797506</v>
      </c>
      <c r="K64" s="21">
        <f>RDG!J24</f>
        <v>7146829</v>
      </c>
    </row>
    <row r="65" spans="1:11" ht="12.75">
      <c r="A65" s="4" t="s">
        <v>1573</v>
      </c>
      <c r="B65" s="19" t="str">
        <f>RefStr!N19</f>
        <v>MSFI</v>
      </c>
      <c r="D65" s="4" t="s">
        <v>1209</v>
      </c>
      <c r="E65" s="4">
        <v>2</v>
      </c>
      <c r="F65" s="4">
        <f>RDG!G25</f>
        <v>64</v>
      </c>
      <c r="G65" s="4">
        <f>IF(RDG!H25=0,"",RDG!H25)</f>
      </c>
      <c r="H65" s="20">
        <f t="shared" si="2"/>
        <v>7827035.52</v>
      </c>
      <c r="I65" s="4">
        <f t="shared" si="3"/>
        <v>0</v>
      </c>
      <c r="J65" s="21">
        <f>RDG!I25</f>
        <v>5794893</v>
      </c>
      <c r="K65" s="21">
        <f>RDG!J25</f>
        <v>3217425</v>
      </c>
    </row>
    <row r="66" spans="1:11" ht="12.75">
      <c r="A66" s="4" t="s">
        <v>1574</v>
      </c>
      <c r="B66" s="19">
        <f>RefStr!C23</f>
        <v>1</v>
      </c>
      <c r="D66" s="4" t="s">
        <v>1209</v>
      </c>
      <c r="E66" s="4">
        <v>2</v>
      </c>
      <c r="F66" s="4">
        <f>RDG!G26</f>
        <v>65</v>
      </c>
      <c r="G66" s="4">
        <f>IF(RDG!H26=0,"",RDG!H26)</f>
      </c>
      <c r="H66" s="20">
        <f t="shared" si="2"/>
        <v>124115437.55</v>
      </c>
      <c r="I66" s="4">
        <f t="shared" si="3"/>
        <v>0</v>
      </c>
      <c r="J66" s="21">
        <f>RDG!I26</f>
        <v>66011725</v>
      </c>
      <c r="K66" s="21">
        <f>RDG!J26</f>
        <v>62467551</v>
      </c>
    </row>
    <row r="67" spans="1:11" ht="12.75">
      <c r="A67" s="4" t="s">
        <v>1575</v>
      </c>
      <c r="B67" s="19" t="str">
        <f>RefStr!L35</f>
        <v>01/2391-121</v>
      </c>
      <c r="D67" s="4" t="s">
        <v>1209</v>
      </c>
      <c r="E67" s="4">
        <v>2</v>
      </c>
      <c r="F67" s="4">
        <f>RDG!G27</f>
        <v>66</v>
      </c>
      <c r="G67" s="4">
        <f>IF(RDG!H27=0,"",RDG!H27)</f>
      </c>
      <c r="H67" s="20">
        <f t="shared" si="2"/>
        <v>41365447.2</v>
      </c>
      <c r="I67" s="4">
        <f t="shared" si="3"/>
        <v>0</v>
      </c>
      <c r="J67" s="21">
        <f>RDG!I27</f>
        <v>19217918</v>
      </c>
      <c r="K67" s="21">
        <f>RDG!J27</f>
        <v>21728501</v>
      </c>
    </row>
    <row r="68" spans="1:11" ht="12.75">
      <c r="A68" s="4" t="s">
        <v>1576</v>
      </c>
      <c r="B68" s="19">
        <f>RefStr!C44</f>
        <v>0</v>
      </c>
      <c r="D68" s="4" t="s">
        <v>1209</v>
      </c>
      <c r="E68" s="4">
        <v>2</v>
      </c>
      <c r="F68" s="4">
        <f>RDG!G28</f>
        <v>67</v>
      </c>
      <c r="G68" s="4">
        <f>IF(RDG!H28=0,"",RDG!H28)</f>
      </c>
      <c r="H68" s="20">
        <f t="shared" si="2"/>
        <v>36906032.1</v>
      </c>
      <c r="I68" s="4">
        <f t="shared" si="3"/>
        <v>0</v>
      </c>
      <c r="J68" s="21">
        <f>RDG!I28</f>
        <v>16954224</v>
      </c>
      <c r="K68" s="21">
        <f>RDG!J28</f>
        <v>19064703</v>
      </c>
    </row>
    <row r="69" spans="1:11" ht="12.75">
      <c r="A69" s="4" t="s">
        <v>1577</v>
      </c>
      <c r="B69" s="19">
        <f>RefStr!M46</f>
        <v>0</v>
      </c>
      <c r="D69" s="4" t="s">
        <v>1209</v>
      </c>
      <c r="E69" s="4">
        <v>2</v>
      </c>
      <c r="F69" s="4">
        <f>RDG!G29</f>
        <v>68</v>
      </c>
      <c r="G69" s="4">
        <f>IF(RDG!H29=0,"",RDG!H29)</f>
      </c>
      <c r="H69" s="20">
        <f t="shared" si="2"/>
        <v>5162077.199999999</v>
      </c>
      <c r="I69" s="4">
        <f t="shared" si="3"/>
        <v>0</v>
      </c>
      <c r="J69" s="21">
        <f>RDG!I29</f>
        <v>2263694</v>
      </c>
      <c r="K69" s="21">
        <f>RDG!J29</f>
        <v>2663798</v>
      </c>
    </row>
    <row r="70" spans="1:11" ht="12.75">
      <c r="A70" s="4" t="s">
        <v>1578</v>
      </c>
      <c r="B70" s="19">
        <f>RefStr!C46</f>
        <v>0</v>
      </c>
      <c r="D70" s="4" t="s">
        <v>1209</v>
      </c>
      <c r="E70" s="4">
        <v>2</v>
      </c>
      <c r="F70" s="4">
        <f>RDG!G30</f>
        <v>69</v>
      </c>
      <c r="G70" s="4">
        <f>IF(RDG!H30=0,"",RDG!H30)</f>
      </c>
      <c r="H70" s="20">
        <f t="shared" si="2"/>
        <v>13419708.57</v>
      </c>
      <c r="I70" s="4">
        <f t="shared" si="3"/>
        <v>0</v>
      </c>
      <c r="J70" s="21">
        <f>RDG!I30</f>
        <v>17397479</v>
      </c>
      <c r="K70" s="21">
        <f>RDG!J30</f>
        <v>1025687</v>
      </c>
    </row>
    <row r="71" spans="4:11" ht="12.75">
      <c r="D71" s="4" t="s">
        <v>1209</v>
      </c>
      <c r="E71" s="4">
        <v>2</v>
      </c>
      <c r="F71" s="4">
        <f>RDG!G31</f>
        <v>70</v>
      </c>
      <c r="G71" s="4">
        <f>IF(RDG!H31=0,"",RDG!H31)</f>
      </c>
      <c r="H71" s="20">
        <f t="shared" si="2"/>
        <v>-8300294.1</v>
      </c>
      <c r="I71" s="4">
        <f t="shared" si="3"/>
        <v>0</v>
      </c>
      <c r="J71" s="21">
        <f>RDG!I31</f>
        <v>-15133785</v>
      </c>
      <c r="K71" s="21">
        <f>RDG!J31</f>
        <v>1638111</v>
      </c>
    </row>
    <row r="72" spans="4:11" ht="12.75">
      <c r="D72" s="4" t="s">
        <v>1209</v>
      </c>
      <c r="E72" s="4">
        <v>2</v>
      </c>
      <c r="F72" s="4">
        <f>RDG!G32</f>
        <v>71</v>
      </c>
      <c r="G72" s="4">
        <f>IF(RDG!H32=0,"",RDG!H32)</f>
      </c>
      <c r="H72" s="20">
        <f t="shared" si="2"/>
        <v>0</v>
      </c>
      <c r="I72" s="4">
        <f t="shared" si="3"/>
        <v>0</v>
      </c>
      <c r="J72" s="21">
        <f>RDG!I32</f>
        <v>0</v>
      </c>
      <c r="K72" s="21">
        <f>RDG!J32</f>
        <v>0</v>
      </c>
    </row>
    <row r="73" spans="4:11" ht="12.75">
      <c r="D73" s="4" t="s">
        <v>1209</v>
      </c>
      <c r="E73" s="4">
        <v>2</v>
      </c>
      <c r="F73" s="4">
        <f>RDG!G34</f>
        <v>72</v>
      </c>
      <c r="G73" s="4">
        <f>IF(RDG!H34=0,"",RDG!H34)</f>
      </c>
      <c r="H73" s="20">
        <f t="shared" si="2"/>
        <v>0</v>
      </c>
      <c r="I73" s="4">
        <f t="shared" si="3"/>
        <v>0</v>
      </c>
      <c r="J73" s="21">
        <f>RDG!I34</f>
        <v>0</v>
      </c>
      <c r="K73" s="21">
        <f>RDG!J34</f>
        <v>0</v>
      </c>
    </row>
    <row r="74" spans="4:11" ht="12.75">
      <c r="D74" s="4" t="s">
        <v>1209</v>
      </c>
      <c r="E74" s="4">
        <v>2</v>
      </c>
      <c r="F74" s="4">
        <f>RDG!G35</f>
        <v>73</v>
      </c>
      <c r="G74" s="4" t="str">
        <f>IF(RDG!H35=0,"",RDG!H35)</f>
        <v>44</v>
      </c>
      <c r="H74" s="20">
        <f t="shared" si="2"/>
        <v>0</v>
      </c>
      <c r="I74" s="4">
        <f t="shared" si="3"/>
        <v>0</v>
      </c>
      <c r="J74" s="21">
        <f>RDG!I35</f>
        <v>0</v>
      </c>
      <c r="K74" s="21">
        <f>RDG!J35</f>
        <v>0</v>
      </c>
    </row>
    <row r="75" spans="4:11" ht="12.75">
      <c r="D75" s="4" t="s">
        <v>1209</v>
      </c>
      <c r="E75" s="4">
        <v>2</v>
      </c>
      <c r="F75" s="4">
        <f>RDG!G36</f>
        <v>74</v>
      </c>
      <c r="G75" s="4">
        <f>IF(RDG!H36=0,"",RDG!H36)</f>
      </c>
      <c r="H75" s="20">
        <f t="shared" si="2"/>
        <v>0</v>
      </c>
      <c r="I75" s="4">
        <f t="shared" si="3"/>
        <v>0</v>
      </c>
      <c r="J75" s="21">
        <f>RDG!I36</f>
        <v>0</v>
      </c>
      <c r="K75" s="21">
        <f>RDG!J36</f>
        <v>0</v>
      </c>
    </row>
    <row r="76" spans="4:11" ht="12.75">
      <c r="D76" s="4" t="s">
        <v>1209</v>
      </c>
      <c r="E76" s="4">
        <v>2</v>
      </c>
      <c r="F76" s="4">
        <f>RDG!G38</f>
        <v>75</v>
      </c>
      <c r="G76" s="4" t="str">
        <f>IF(RDG!H38=0,"",RDG!H38)</f>
        <v>45</v>
      </c>
      <c r="H76" s="20">
        <f t="shared" si="2"/>
        <v>-8893172.25</v>
      </c>
      <c r="I76" s="4">
        <f t="shared" si="3"/>
        <v>0</v>
      </c>
      <c r="J76" s="21">
        <f>RDG!I38</f>
        <v>-15133785</v>
      </c>
      <c r="K76" s="21">
        <f>RDG!J38</f>
        <v>1638111</v>
      </c>
    </row>
    <row r="77" spans="4:11" ht="12.75">
      <c r="D77" s="4" t="s">
        <v>1209</v>
      </c>
      <c r="E77" s="4">
        <v>2</v>
      </c>
      <c r="F77" s="4">
        <f>RDG!G39</f>
        <v>76</v>
      </c>
      <c r="G77" s="4">
        <f>IF(RDG!H39=0,"",RDG!H39)</f>
      </c>
      <c r="H77" s="20">
        <f t="shared" si="2"/>
        <v>6784966.879999999</v>
      </c>
      <c r="I77" s="4">
        <f t="shared" si="3"/>
        <v>0</v>
      </c>
      <c r="J77" s="21">
        <f>RDG!I39</f>
        <v>-3004132</v>
      </c>
      <c r="K77" s="21">
        <f>RDG!J39</f>
        <v>5965860</v>
      </c>
    </row>
    <row r="78" spans="4:11" ht="12.75">
      <c r="D78" s="4" t="s">
        <v>1209</v>
      </c>
      <c r="E78" s="4">
        <v>2</v>
      </c>
      <c r="F78" s="4">
        <f>RDG!G40</f>
        <v>77</v>
      </c>
      <c r="G78" s="4">
        <f>IF(RDG!H40=0,"",RDG!H40)</f>
      </c>
      <c r="H78" s="20">
        <f t="shared" si="2"/>
        <v>0</v>
      </c>
      <c r="I78" s="4">
        <f t="shared" si="3"/>
        <v>0</v>
      </c>
      <c r="J78" s="21">
        <f>RDG!I40</f>
        <v>0</v>
      </c>
      <c r="K78" s="21">
        <f>RDG!J40</f>
        <v>0</v>
      </c>
    </row>
    <row r="79" spans="4:11" ht="12.75">
      <c r="D79" s="4" t="s">
        <v>1209</v>
      </c>
      <c r="E79" s="4">
        <v>2</v>
      </c>
      <c r="F79" s="4">
        <f>RDG!G41</f>
        <v>78</v>
      </c>
      <c r="G79" s="4" t="str">
        <f>IF(RDG!H41=0,"",RDG!H41)</f>
        <v>46</v>
      </c>
      <c r="H79" s="20">
        <f t="shared" si="2"/>
        <v>0</v>
      </c>
      <c r="I79" s="4">
        <f t="shared" si="3"/>
        <v>0</v>
      </c>
      <c r="J79" s="21">
        <f>RDG!I41</f>
        <v>0</v>
      </c>
      <c r="K79" s="21">
        <f>RDG!J41</f>
        <v>0</v>
      </c>
    </row>
    <row r="80" spans="4:11" ht="12.75">
      <c r="D80" s="4" t="s">
        <v>1209</v>
      </c>
      <c r="E80" s="4">
        <v>2</v>
      </c>
      <c r="F80" s="4">
        <f>RDG!G42</f>
        <v>79</v>
      </c>
      <c r="G80" s="4" t="str">
        <f>IF(RDG!H42=0,"",RDG!H42)</f>
        <v>47</v>
      </c>
      <c r="H80" s="20">
        <f t="shared" si="2"/>
        <v>0</v>
      </c>
      <c r="I80" s="4">
        <f t="shared" si="3"/>
        <v>0</v>
      </c>
      <c r="J80" s="21">
        <f>RDG!I42</f>
        <v>0</v>
      </c>
      <c r="K80" s="21">
        <f>RDG!J42</f>
        <v>0</v>
      </c>
    </row>
    <row r="81" spans="4:11" ht="12.75">
      <c r="D81" s="4" t="s">
        <v>1209</v>
      </c>
      <c r="E81" s="4">
        <v>2</v>
      </c>
      <c r="F81" s="4">
        <f>RDG!G43</f>
        <v>80</v>
      </c>
      <c r="G81" s="4" t="str">
        <f>IF(RDG!H43=0,"",RDG!H43)</f>
        <v>48</v>
      </c>
      <c r="H81" s="20">
        <f t="shared" si="2"/>
        <v>0</v>
      </c>
      <c r="I81" s="4">
        <f t="shared" si="3"/>
        <v>0</v>
      </c>
      <c r="J81" s="21">
        <f>RDG!I43</f>
        <v>0</v>
      </c>
      <c r="K81" s="21">
        <f>RDG!J43</f>
        <v>0</v>
      </c>
    </row>
    <row r="82" spans="4:11" ht="12.75">
      <c r="D82" s="4" t="s">
        <v>1209</v>
      </c>
      <c r="E82" s="4">
        <v>2</v>
      </c>
      <c r="F82" s="4">
        <f>RDG!G44</f>
        <v>81</v>
      </c>
      <c r="G82" s="4">
        <f>IF(RDG!H44=0,"",RDG!H44)</f>
      </c>
      <c r="H82" s="20">
        <f t="shared" si="2"/>
        <v>0</v>
      </c>
      <c r="I82" s="4">
        <f t="shared" si="3"/>
        <v>0</v>
      </c>
      <c r="J82" s="21">
        <f>RDG!I44</f>
        <v>0</v>
      </c>
      <c r="K82" s="21">
        <f>RDG!J44</f>
        <v>0</v>
      </c>
    </row>
    <row r="83" spans="4:11" ht="12.75">
      <c r="D83" s="4" t="s">
        <v>1209</v>
      </c>
      <c r="E83" s="4">
        <v>2</v>
      </c>
      <c r="F83" s="4">
        <f>RDG!G45</f>
        <v>82</v>
      </c>
      <c r="G83" s="4">
        <f>IF(RDG!H45=0,"",RDG!H45)</f>
      </c>
      <c r="H83" s="20">
        <f t="shared" si="2"/>
        <v>0</v>
      </c>
      <c r="I83" s="4">
        <f t="shared" si="3"/>
        <v>0</v>
      </c>
      <c r="J83" s="21">
        <f>RDG!I45</f>
        <v>0</v>
      </c>
      <c r="K83" s="21">
        <f>RDG!J45</f>
        <v>0</v>
      </c>
    </row>
    <row r="84" spans="4:11" ht="12.75">
      <c r="D84" s="4" t="s">
        <v>1209</v>
      </c>
      <c r="E84" s="4">
        <v>2</v>
      </c>
      <c r="F84" s="4">
        <f>RDG!G46</f>
        <v>83</v>
      </c>
      <c r="G84" s="4" t="str">
        <f>IF(RDG!H46=0,"",RDG!H46)</f>
        <v>49</v>
      </c>
      <c r="H84" s="20">
        <f t="shared" si="2"/>
        <v>0</v>
      </c>
      <c r="I84" s="4">
        <f t="shared" si="3"/>
        <v>0</v>
      </c>
      <c r="J84" s="21">
        <f>RDG!I46</f>
        <v>0</v>
      </c>
      <c r="K84" s="21">
        <f>RDG!J46</f>
        <v>0</v>
      </c>
    </row>
    <row r="85" spans="4:11" ht="12.75">
      <c r="D85" s="4" t="s">
        <v>1209</v>
      </c>
      <c r="E85" s="4">
        <v>2</v>
      </c>
      <c r="F85" s="4">
        <f>RDG!G47</f>
        <v>84</v>
      </c>
      <c r="G85" s="4">
        <f>IF(RDG!H47=0,"",RDG!H47)</f>
      </c>
      <c r="H85" s="20">
        <f t="shared" si="2"/>
        <v>7499173.919999999</v>
      </c>
      <c r="I85" s="4">
        <f t="shared" si="3"/>
        <v>0</v>
      </c>
      <c r="J85" s="21">
        <f>RDG!I47</f>
        <v>-3004132</v>
      </c>
      <c r="K85" s="21">
        <f>RDG!J47</f>
        <v>5965860</v>
      </c>
    </row>
    <row r="86" spans="4:11" ht="12.75">
      <c r="D86" s="4" t="s">
        <v>1209</v>
      </c>
      <c r="E86" s="4">
        <v>2</v>
      </c>
      <c r="F86" s="4">
        <f>RDG!G48</f>
        <v>85</v>
      </c>
      <c r="G86" s="4" t="str">
        <f>IF(RDG!H48=0,"",RDG!H48)</f>
        <v>50</v>
      </c>
      <c r="H86" s="20">
        <f t="shared" si="2"/>
        <v>0</v>
      </c>
      <c r="I86" s="4">
        <f t="shared" si="3"/>
        <v>0</v>
      </c>
      <c r="J86" s="21">
        <f>RDG!I48</f>
        <v>0</v>
      </c>
      <c r="K86" s="21">
        <f>RDG!J48</f>
        <v>0</v>
      </c>
    </row>
    <row r="87" spans="4:11" ht="12.75">
      <c r="D87" s="4" t="s">
        <v>1209</v>
      </c>
      <c r="E87" s="4">
        <v>2</v>
      </c>
      <c r="F87" s="4">
        <f>RDG!G49</f>
        <v>86</v>
      </c>
      <c r="G87" s="4" t="str">
        <f>IF(RDG!H49=0,"",RDG!H49)</f>
        <v>51</v>
      </c>
      <c r="H87" s="20">
        <f t="shared" si="2"/>
        <v>0</v>
      </c>
      <c r="I87" s="4">
        <f t="shared" si="3"/>
        <v>0</v>
      </c>
      <c r="J87" s="21">
        <f>RDG!I49</f>
        <v>0</v>
      </c>
      <c r="K87" s="21">
        <f>RDG!J49</f>
        <v>0</v>
      </c>
    </row>
    <row r="88" spans="4:11" ht="12.75">
      <c r="D88" s="4" t="s">
        <v>1209</v>
      </c>
      <c r="E88" s="4">
        <v>2</v>
      </c>
      <c r="F88" s="4">
        <f>RDG!G50</f>
        <v>87</v>
      </c>
      <c r="G88" s="4">
        <f>IF(RDG!H50=0,"",RDG!H50)</f>
      </c>
      <c r="H88" s="20">
        <f t="shared" si="2"/>
        <v>0</v>
      </c>
      <c r="I88" s="4">
        <f t="shared" si="3"/>
        <v>0</v>
      </c>
      <c r="J88" s="21">
        <f>RDG!I50</f>
        <v>0</v>
      </c>
      <c r="K88" s="21">
        <f>RDG!J50</f>
        <v>0</v>
      </c>
    </row>
    <row r="89" spans="4:11" ht="12.75">
      <c r="D89" s="4" t="s">
        <v>1209</v>
      </c>
      <c r="E89" s="4">
        <v>2</v>
      </c>
      <c r="F89" s="4">
        <f>RDG!G51</f>
        <v>88</v>
      </c>
      <c r="G89" s="4" t="str">
        <f>IF(RDG!H51=0,"",RDG!H51)</f>
        <v>52</v>
      </c>
      <c r="H89" s="20">
        <f t="shared" si="2"/>
        <v>0</v>
      </c>
      <c r="I89" s="4">
        <f t="shared" si="3"/>
        <v>0</v>
      </c>
      <c r="J89" s="21">
        <f>RDG!I51</f>
        <v>0</v>
      </c>
      <c r="K89" s="21">
        <f>RDG!J51</f>
        <v>0</v>
      </c>
    </row>
    <row r="90" spans="4:11" ht="12.75">
      <c r="D90" s="4" t="s">
        <v>1209</v>
      </c>
      <c r="E90" s="4">
        <v>2</v>
      </c>
      <c r="F90" s="4">
        <f>RDG!G52</f>
        <v>89</v>
      </c>
      <c r="G90" s="4" t="str">
        <f>IF(RDG!H52=0,"",RDG!H52)</f>
        <v>53</v>
      </c>
      <c r="H90" s="20">
        <f t="shared" si="2"/>
        <v>0</v>
      </c>
      <c r="I90" s="4">
        <f t="shared" si="3"/>
        <v>0</v>
      </c>
      <c r="J90" s="21">
        <f>RDG!I52</f>
        <v>0</v>
      </c>
      <c r="K90" s="21">
        <f>RDG!J52</f>
        <v>0</v>
      </c>
    </row>
    <row r="91" spans="4:11" ht="12.75">
      <c r="D91" s="4" t="s">
        <v>1209</v>
      </c>
      <c r="E91" s="4">
        <v>2</v>
      </c>
      <c r="F91" s="4">
        <f>RDG!G53</f>
        <v>90</v>
      </c>
      <c r="G91" s="4" t="str">
        <f>IF(RDG!H53=0,"",RDG!H53)</f>
        <v>54</v>
      </c>
      <c r="H91" s="20">
        <f t="shared" si="2"/>
        <v>0</v>
      </c>
      <c r="I91" s="4">
        <f t="shared" si="3"/>
        <v>0</v>
      </c>
      <c r="J91" s="21">
        <f>RDG!I53</f>
        <v>0</v>
      </c>
      <c r="K91" s="21">
        <f>RDG!J53</f>
        <v>0</v>
      </c>
    </row>
    <row r="92" spans="4:11" ht="12.75">
      <c r="D92" s="4" t="s">
        <v>1209</v>
      </c>
      <c r="E92" s="4">
        <v>2</v>
      </c>
      <c r="F92" s="4">
        <f>RDG!G54</f>
        <v>91</v>
      </c>
      <c r="G92" s="4">
        <f>IF(RDG!H54=0,"",RDG!H54)</f>
      </c>
      <c r="H92" s="20">
        <f t="shared" si="2"/>
        <v>0</v>
      </c>
      <c r="I92" s="4">
        <f t="shared" si="3"/>
        <v>0</v>
      </c>
      <c r="J92" s="21">
        <f>RDG!I54</f>
        <v>0</v>
      </c>
      <c r="K92" s="21">
        <f>RDG!J54</f>
        <v>0</v>
      </c>
    </row>
    <row r="93" spans="4:11" ht="12.75">
      <c r="D93" s="4" t="s">
        <v>1209</v>
      </c>
      <c r="E93" s="4">
        <v>2</v>
      </c>
      <c r="F93" s="4">
        <f>RDG!G55</f>
        <v>92</v>
      </c>
      <c r="G93" s="4">
        <f>IF(RDG!H55=0,"",RDG!H55)</f>
      </c>
      <c r="H93" s="20">
        <f t="shared" si="2"/>
        <v>0</v>
      </c>
      <c r="I93" s="4">
        <f t="shared" si="3"/>
        <v>0</v>
      </c>
      <c r="J93" s="21">
        <f>RDG!I55</f>
        <v>0</v>
      </c>
      <c r="K93" s="21">
        <f>RDG!J55</f>
        <v>0</v>
      </c>
    </row>
    <row r="94" spans="4:11" ht="12.75">
      <c r="D94" s="4" t="s">
        <v>1209</v>
      </c>
      <c r="E94" s="4">
        <v>2</v>
      </c>
      <c r="F94" s="4">
        <f>RDG!G56</f>
        <v>93</v>
      </c>
      <c r="G94" s="4" t="str">
        <f>IF(RDG!H56=0,"",RDG!H56)</f>
        <v>55</v>
      </c>
      <c r="H94" s="20">
        <f t="shared" si="2"/>
        <v>0</v>
      </c>
      <c r="I94" s="4">
        <f t="shared" si="3"/>
        <v>0</v>
      </c>
      <c r="J94" s="21">
        <f>RDG!I56</f>
        <v>0</v>
      </c>
      <c r="K94" s="21">
        <f>RDG!J56</f>
        <v>0</v>
      </c>
    </row>
    <row r="95" spans="4:11" ht="12.75">
      <c r="D95" s="4" t="s">
        <v>1209</v>
      </c>
      <c r="E95" s="4">
        <v>2</v>
      </c>
      <c r="F95" s="4">
        <f>RDG!G57</f>
        <v>94</v>
      </c>
      <c r="G95" s="4" t="str">
        <f>IF(RDG!H57=0,"",RDG!H57)</f>
        <v>56</v>
      </c>
      <c r="H95" s="20">
        <f t="shared" si="2"/>
        <v>0</v>
      </c>
      <c r="I95" s="4">
        <f t="shared" si="3"/>
        <v>0</v>
      </c>
      <c r="J95" s="21">
        <f>RDG!I57</f>
        <v>0</v>
      </c>
      <c r="K95" s="21">
        <f>RDG!J57</f>
        <v>0</v>
      </c>
    </row>
    <row r="96" spans="4:11" ht="12.75">
      <c r="D96" s="4" t="s">
        <v>1209</v>
      </c>
      <c r="E96" s="4">
        <v>2</v>
      </c>
      <c r="F96" s="4">
        <f>RDG!G58</f>
        <v>95</v>
      </c>
      <c r="G96" s="4">
        <f>IF(RDG!H58=0,"",RDG!H58)</f>
      </c>
      <c r="H96" s="20">
        <f t="shared" si="2"/>
        <v>0</v>
      </c>
      <c r="I96" s="4">
        <f t="shared" si="3"/>
        <v>0</v>
      </c>
      <c r="J96" s="21">
        <f>RDG!I58</f>
        <v>0</v>
      </c>
      <c r="K96" s="21">
        <f>RDG!J58</f>
        <v>0</v>
      </c>
    </row>
    <row r="97" spans="4:11" ht="12.75">
      <c r="D97" s="4" t="s">
        <v>1209</v>
      </c>
      <c r="E97" s="4">
        <v>2</v>
      </c>
      <c r="F97" s="4">
        <f>RDG!G59</f>
        <v>96</v>
      </c>
      <c r="G97" s="4" t="str">
        <f>IF(RDG!H59=0,"",RDG!H59)</f>
        <v>57</v>
      </c>
      <c r="H97" s="20">
        <f t="shared" si="2"/>
        <v>0</v>
      </c>
      <c r="I97" s="4">
        <f t="shared" si="3"/>
        <v>0</v>
      </c>
      <c r="J97" s="21">
        <f>RDG!I59</f>
        <v>0</v>
      </c>
      <c r="K97" s="21">
        <f>RDG!J59</f>
        <v>0</v>
      </c>
    </row>
    <row r="98" spans="4:11" ht="12.75">
      <c r="D98" s="4" t="s">
        <v>1209</v>
      </c>
      <c r="E98" s="4">
        <v>2</v>
      </c>
      <c r="F98" s="4">
        <f>RDG!G60</f>
        <v>97</v>
      </c>
      <c r="G98" s="4" t="str">
        <f>IF(RDG!H60=0,"",RDG!H60)</f>
        <v>58</v>
      </c>
      <c r="H98" s="20">
        <f t="shared" si="2"/>
        <v>0</v>
      </c>
      <c r="I98" s="4">
        <f t="shared" si="3"/>
        <v>0</v>
      </c>
      <c r="J98" s="21">
        <f>RDG!I60</f>
        <v>0</v>
      </c>
      <c r="K98" s="21">
        <f>RDG!J60</f>
        <v>0</v>
      </c>
    </row>
    <row r="99" spans="4:11" ht="12.75">
      <c r="D99" s="4" t="s">
        <v>1209</v>
      </c>
      <c r="E99" s="4">
        <v>2</v>
      </c>
      <c r="F99" s="4">
        <f>RDG!G61</f>
        <v>98</v>
      </c>
      <c r="G99" s="4">
        <f>IF(RDG!H61=0,"",RDG!H61)</f>
      </c>
      <c r="H99" s="20">
        <f t="shared" si="2"/>
        <v>11242677.6</v>
      </c>
      <c r="I99" s="4">
        <f t="shared" si="3"/>
        <v>0</v>
      </c>
      <c r="J99" s="21">
        <f>RDG!I61</f>
        <v>-3102832</v>
      </c>
      <c r="K99" s="21">
        <f>RDG!J61</f>
        <v>7287476</v>
      </c>
    </row>
    <row r="100" spans="4:11" ht="12.75">
      <c r="D100" s="4" t="s">
        <v>1209</v>
      </c>
      <c r="E100" s="4">
        <v>2</v>
      </c>
      <c r="F100" s="4">
        <f>RDG!G62</f>
        <v>99</v>
      </c>
      <c r="G100" s="4">
        <f>IF(RDG!H62=0,"",RDG!H62)</f>
      </c>
      <c r="H100" s="20">
        <f t="shared" si="2"/>
        <v>12751889.04</v>
      </c>
      <c r="I100" s="4">
        <f t="shared" si="3"/>
        <v>0</v>
      </c>
      <c r="J100" s="21">
        <f>RDG!I62</f>
        <v>-1144150</v>
      </c>
      <c r="K100" s="21">
        <f>RDG!J62</f>
        <v>7012423</v>
      </c>
    </row>
    <row r="101" spans="4:11" ht="12.75">
      <c r="D101" s="4" t="s">
        <v>1209</v>
      </c>
      <c r="E101" s="4">
        <v>2</v>
      </c>
      <c r="F101" s="4">
        <f>RDG!G63</f>
        <v>100</v>
      </c>
      <c r="G101" s="4" t="str">
        <f>IF(RDG!H63=0,"",RDG!H63)</f>
        <v>59</v>
      </c>
      <c r="H101" s="20">
        <f t="shared" si="2"/>
        <v>-1408576</v>
      </c>
      <c r="I101" s="4">
        <f t="shared" si="3"/>
        <v>0</v>
      </c>
      <c r="J101" s="21">
        <f>RDG!I63</f>
        <v>-1958682</v>
      </c>
      <c r="K101" s="21">
        <f>RDG!J63</f>
        <v>275053</v>
      </c>
    </row>
    <row r="102" spans="4:11" ht="12.75">
      <c r="D102" s="4" t="s">
        <v>1209</v>
      </c>
      <c r="E102" s="4">
        <v>2</v>
      </c>
      <c r="F102" s="4">
        <f>RDG!G64</f>
        <v>101</v>
      </c>
      <c r="G102" s="4" t="str">
        <f>IF(RDG!H64=0,"",RDG!H64)</f>
        <v>60</v>
      </c>
      <c r="H102" s="20">
        <f t="shared" si="2"/>
        <v>0</v>
      </c>
      <c r="I102" s="4">
        <f t="shared" si="3"/>
        <v>0</v>
      </c>
      <c r="J102" s="21">
        <f>RDG!I64</f>
        <v>0</v>
      </c>
      <c r="K102" s="21">
        <f>RDG!J64</f>
        <v>0</v>
      </c>
    </row>
    <row r="103" spans="4:11" ht="12.75">
      <c r="D103" s="4" t="s">
        <v>1209</v>
      </c>
      <c r="E103" s="4">
        <v>2</v>
      </c>
      <c r="F103" s="4">
        <f>RDG!G65</f>
        <v>102</v>
      </c>
      <c r="G103" s="4">
        <f>IF(RDG!H65=0,"",RDG!H65)</f>
      </c>
      <c r="H103" s="20">
        <f t="shared" si="2"/>
        <v>0</v>
      </c>
      <c r="I103" s="4">
        <f t="shared" si="3"/>
        <v>0</v>
      </c>
      <c r="J103" s="21">
        <f>RDG!I65</f>
        <v>0</v>
      </c>
      <c r="K103" s="21">
        <f>RDG!J65</f>
        <v>0</v>
      </c>
    </row>
    <row r="104" spans="4:11" ht="12.75">
      <c r="D104" s="4" t="s">
        <v>1209</v>
      </c>
      <c r="E104" s="4">
        <v>2</v>
      </c>
      <c r="F104" s="4">
        <f>RDG!G66</f>
        <v>103</v>
      </c>
      <c r="G104" s="4" t="str">
        <f>IF(RDG!H66=0,"",RDG!H66)</f>
        <v>61</v>
      </c>
      <c r="H104" s="20">
        <f t="shared" si="2"/>
        <v>0</v>
      </c>
      <c r="I104" s="4">
        <f t="shared" si="3"/>
        <v>0</v>
      </c>
      <c r="J104" s="21">
        <f>RDG!I66</f>
        <v>0</v>
      </c>
      <c r="K104" s="21">
        <f>RDG!J66</f>
        <v>0</v>
      </c>
    </row>
    <row r="105" spans="4:11" ht="12.75">
      <c r="D105" s="4" t="s">
        <v>1209</v>
      </c>
      <c r="E105" s="4">
        <v>2</v>
      </c>
      <c r="F105" s="4">
        <f>RDG!G67</f>
        <v>104</v>
      </c>
      <c r="G105" s="4" t="str">
        <f>IF(RDG!H67=0,"",RDG!H67)</f>
        <v>62</v>
      </c>
      <c r="H105" s="20">
        <f t="shared" si="2"/>
        <v>0</v>
      </c>
      <c r="I105" s="4">
        <f t="shared" si="3"/>
        <v>0</v>
      </c>
      <c r="J105" s="21">
        <f>RDG!I67</f>
        <v>0</v>
      </c>
      <c r="K105" s="21">
        <f>RDG!J67</f>
        <v>0</v>
      </c>
    </row>
    <row r="106" spans="4:11" ht="12.75">
      <c r="D106" s="4" t="s">
        <v>1209</v>
      </c>
      <c r="E106" s="4">
        <v>2</v>
      </c>
      <c r="F106" s="4">
        <f>RDG!G68</f>
        <v>105</v>
      </c>
      <c r="G106" s="4" t="str">
        <f>IF(RDG!H68=0,"",RDG!H68)</f>
        <v>63</v>
      </c>
      <c r="H106" s="20">
        <f t="shared" si="2"/>
        <v>0</v>
      </c>
      <c r="I106" s="4">
        <f t="shared" si="3"/>
        <v>0</v>
      </c>
      <c r="J106" s="21">
        <f>RDG!I68</f>
        <v>0</v>
      </c>
      <c r="K106" s="21">
        <f>RDG!J68</f>
        <v>0</v>
      </c>
    </row>
    <row r="107" spans="4:11" ht="12.75">
      <c r="D107" s="4" t="s">
        <v>1209</v>
      </c>
      <c r="E107" s="4">
        <v>2</v>
      </c>
      <c r="F107" s="4">
        <f>RDG!G69</f>
        <v>106</v>
      </c>
      <c r="G107" s="4">
        <f>IF(RDG!H69=0,"",RDG!H69)</f>
      </c>
      <c r="H107" s="20">
        <f t="shared" si="2"/>
        <v>0</v>
      </c>
      <c r="I107" s="4">
        <f t="shared" si="3"/>
        <v>0</v>
      </c>
      <c r="J107" s="21">
        <f>RDG!I69</f>
        <v>0</v>
      </c>
      <c r="K107" s="21">
        <f>RDG!J69</f>
        <v>0</v>
      </c>
    </row>
    <row r="108" spans="4:11" ht="12.75">
      <c r="D108" s="4" t="s">
        <v>1209</v>
      </c>
      <c r="E108" s="4">
        <v>2</v>
      </c>
      <c r="F108" s="4">
        <f>RDG!G70</f>
        <v>107</v>
      </c>
      <c r="G108" s="4">
        <f>IF(RDG!H70=0,"",RDG!H70)</f>
      </c>
      <c r="H108" s="20">
        <f t="shared" si="2"/>
        <v>-2722649.2399999998</v>
      </c>
      <c r="I108" s="4">
        <f t="shared" si="3"/>
        <v>0</v>
      </c>
      <c r="J108" s="21">
        <f>RDG!I70</f>
        <v>98700</v>
      </c>
      <c r="K108" s="21">
        <f>RDG!J70</f>
        <v>-1321616</v>
      </c>
    </row>
    <row r="109" spans="4:11" ht="12.75">
      <c r="D109" s="4" t="s">
        <v>1209</v>
      </c>
      <c r="E109" s="4">
        <v>2</v>
      </c>
      <c r="F109" s="4">
        <f>RDG!G71</f>
        <v>108</v>
      </c>
      <c r="G109" s="4">
        <f>IF(RDG!H71=0,"",RDG!H71)</f>
      </c>
      <c r="H109" s="20">
        <f t="shared" si="2"/>
        <v>-3164373.000000002</v>
      </c>
      <c r="I109" s="4">
        <f t="shared" si="3"/>
        <v>0</v>
      </c>
      <c r="J109" s="21">
        <f>RDG!I71</f>
        <v>-18137917</v>
      </c>
      <c r="K109" s="21">
        <f>RDG!J71</f>
        <v>7603971</v>
      </c>
    </row>
    <row r="110" spans="4:11" ht="12.75">
      <c r="D110" s="4" t="s">
        <v>1209</v>
      </c>
      <c r="E110" s="4">
        <v>2</v>
      </c>
      <c r="F110" s="4">
        <f>RDG!G72</f>
        <v>109</v>
      </c>
      <c r="G110" s="4" t="str">
        <f>IF(RDG!H72=0,"",RDG!H72)</f>
        <v>64</v>
      </c>
      <c r="H110" s="20">
        <f t="shared" si="2"/>
        <v>0</v>
      </c>
      <c r="I110" s="4">
        <f t="shared" si="3"/>
        <v>0</v>
      </c>
      <c r="J110" s="21">
        <f>RDG!I72</f>
        <v>0</v>
      </c>
      <c r="K110" s="21">
        <f>RDG!J72</f>
        <v>0</v>
      </c>
    </row>
    <row r="111" spans="4:11" ht="12.75">
      <c r="D111" s="4" t="s">
        <v>1209</v>
      </c>
      <c r="E111" s="4">
        <v>2</v>
      </c>
      <c r="F111" s="4">
        <f>RDG!G73</f>
        <v>110</v>
      </c>
      <c r="G111" s="4">
        <f>IF(RDG!H73=0,"",RDG!H73)</f>
      </c>
      <c r="H111" s="20">
        <f t="shared" si="2"/>
        <v>-3222972.500000002</v>
      </c>
      <c r="I111" s="4">
        <f t="shared" si="3"/>
        <v>0</v>
      </c>
      <c r="J111" s="21">
        <f>RDG!I73</f>
        <v>-18137917</v>
      </c>
      <c r="K111" s="21">
        <f>RDG!J73</f>
        <v>7603971</v>
      </c>
    </row>
    <row r="112" spans="4:11" ht="12.75">
      <c r="D112" s="4" t="s">
        <v>1562</v>
      </c>
      <c r="E112" s="4">
        <v>3</v>
      </c>
      <c r="F112" s="4">
        <f>Dodatni!H9</f>
        <v>111</v>
      </c>
      <c r="H112" s="20">
        <f>J112/100*F112+2*K112/100*F112</f>
        <v>0</v>
      </c>
      <c r="I112" s="4">
        <f>ABS(ROUND(J112,0)-J112)+ABS(ROUND(K112,0)-K112)</f>
        <v>0</v>
      </c>
      <c r="J112" s="21">
        <f>Dodatni!I9</f>
        <v>0</v>
      </c>
      <c r="K112" s="21">
        <f>Dodatni!J9</f>
        <v>0</v>
      </c>
    </row>
    <row r="113" spans="4:11" ht="12.75">
      <c r="D113" s="4" t="s">
        <v>1562</v>
      </c>
      <c r="E113" s="4">
        <v>3</v>
      </c>
      <c r="F113" s="4">
        <f>Dodatni!H10</f>
        <v>112</v>
      </c>
      <c r="H113" s="20">
        <f>J113/100*F113+2*K113/100*F113</f>
        <v>0</v>
      </c>
      <c r="I113" s="4">
        <f>ABS(ROUND(J113,0)-J113)+ABS(ROUND(K113,0)-K113)</f>
        <v>0</v>
      </c>
      <c r="J113" s="21">
        <f>Dodatni!I10</f>
        <v>0</v>
      </c>
      <c r="K113" s="21">
        <f>Dodatni!J10</f>
        <v>0</v>
      </c>
    </row>
    <row r="114" spans="4:11" ht="12.75">
      <c r="D114" s="4" t="s">
        <v>1562</v>
      </c>
      <c r="E114" s="4">
        <v>3</v>
      </c>
      <c r="F114" s="4">
        <f>Dodatni!H11</f>
        <v>113</v>
      </c>
      <c r="H114" s="20">
        <f aca="true" t="shared" si="4" ref="H114:H167">J114/100*F114+2*K114/100*F114</f>
        <v>0</v>
      </c>
      <c r="I114" s="4">
        <f aca="true" t="shared" si="5" ref="I114:I167">ABS(ROUND(J114,0)-J114)+ABS(ROUND(K114,0)-K114)</f>
        <v>0</v>
      </c>
      <c r="J114" s="21">
        <f>Dodatni!I11</f>
        <v>0</v>
      </c>
      <c r="K114" s="21">
        <f>Dodatni!J11</f>
        <v>0</v>
      </c>
    </row>
    <row r="115" spans="4:11" ht="12.75">
      <c r="D115" s="4" t="s">
        <v>1562</v>
      </c>
      <c r="E115" s="4">
        <v>3</v>
      </c>
      <c r="F115" s="4">
        <f>Dodatni!H12</f>
        <v>114</v>
      </c>
      <c r="H115" s="20">
        <f t="shared" si="4"/>
        <v>0</v>
      </c>
      <c r="I115" s="4">
        <f t="shared" si="5"/>
        <v>0</v>
      </c>
      <c r="J115" s="21">
        <f>Dodatni!I12</f>
        <v>0</v>
      </c>
      <c r="K115" s="21">
        <f>Dodatni!J12</f>
        <v>0</v>
      </c>
    </row>
    <row r="116" spans="4:11" ht="12.75">
      <c r="D116" s="4" t="s">
        <v>1562</v>
      </c>
      <c r="E116" s="4">
        <v>3</v>
      </c>
      <c r="F116" s="4">
        <f>Dodatni!H13</f>
        <v>115</v>
      </c>
      <c r="H116" s="20">
        <f t="shared" si="4"/>
        <v>0</v>
      </c>
      <c r="I116" s="4">
        <f t="shared" si="5"/>
        <v>0</v>
      </c>
      <c r="J116" s="21">
        <f>Dodatni!I13</f>
        <v>0</v>
      </c>
      <c r="K116" s="21">
        <f>Dodatni!J13</f>
        <v>0</v>
      </c>
    </row>
    <row r="117" spans="4:11" ht="12.75">
      <c r="D117" s="4" t="s">
        <v>1562</v>
      </c>
      <c r="E117" s="4">
        <v>3</v>
      </c>
      <c r="F117" s="4">
        <f>Dodatni!H14</f>
        <v>116</v>
      </c>
      <c r="H117" s="20">
        <f t="shared" si="4"/>
        <v>0</v>
      </c>
      <c r="I117" s="4">
        <f t="shared" si="5"/>
        <v>0</v>
      </c>
      <c r="J117" s="21">
        <f>Dodatni!I14</f>
        <v>0</v>
      </c>
      <c r="K117" s="21">
        <f>Dodatni!J14</f>
        <v>0</v>
      </c>
    </row>
    <row r="118" spans="4:11" ht="12.75">
      <c r="D118" s="4" t="s">
        <v>1562</v>
      </c>
      <c r="E118" s="4">
        <v>3</v>
      </c>
      <c r="F118" s="4">
        <f>Dodatni!H15</f>
        <v>117</v>
      </c>
      <c r="H118" s="20">
        <f t="shared" si="4"/>
        <v>0</v>
      </c>
      <c r="I118" s="4">
        <f t="shared" si="5"/>
        <v>0</v>
      </c>
      <c r="J118" s="21">
        <f>Dodatni!I15</f>
        <v>0</v>
      </c>
      <c r="K118" s="21">
        <f>Dodatni!J15</f>
        <v>0</v>
      </c>
    </row>
    <row r="119" spans="4:11" ht="12.75">
      <c r="D119" s="4" t="s">
        <v>1562</v>
      </c>
      <c r="E119" s="4">
        <v>3</v>
      </c>
      <c r="F119" s="4">
        <f>Dodatni!H16</f>
        <v>118</v>
      </c>
      <c r="H119" s="20">
        <f t="shared" si="4"/>
        <v>0</v>
      </c>
      <c r="I119" s="4">
        <f t="shared" si="5"/>
        <v>0</v>
      </c>
      <c r="J119" s="21">
        <f>Dodatni!I16</f>
        <v>0</v>
      </c>
      <c r="K119" s="21">
        <f>Dodatni!J16</f>
        <v>0</v>
      </c>
    </row>
    <row r="120" spans="4:11" ht="12.75">
      <c r="D120" s="4" t="s">
        <v>1562</v>
      </c>
      <c r="E120" s="4">
        <v>3</v>
      </c>
      <c r="F120" s="4">
        <f>Dodatni!H17</f>
        <v>119</v>
      </c>
      <c r="H120" s="20">
        <f t="shared" si="4"/>
        <v>0</v>
      </c>
      <c r="I120" s="4">
        <f t="shared" si="5"/>
        <v>0</v>
      </c>
      <c r="J120" s="21">
        <f>Dodatni!I17</f>
        <v>0</v>
      </c>
      <c r="K120" s="21">
        <f>Dodatni!J17</f>
        <v>0</v>
      </c>
    </row>
    <row r="121" spans="4:11" ht="12.75">
      <c r="D121" s="4" t="s">
        <v>1562</v>
      </c>
      <c r="E121" s="4">
        <v>3</v>
      </c>
      <c r="F121" s="4">
        <f>Dodatni!H18</f>
        <v>120</v>
      </c>
      <c r="H121" s="20">
        <f t="shared" si="4"/>
        <v>0</v>
      </c>
      <c r="I121" s="4">
        <f t="shared" si="5"/>
        <v>0</v>
      </c>
      <c r="J121" s="21">
        <f>Dodatni!I18</f>
        <v>0</v>
      </c>
      <c r="K121" s="21">
        <f>Dodatni!J18</f>
        <v>0</v>
      </c>
    </row>
    <row r="122" spans="4:11" ht="12.75">
      <c r="D122" s="4" t="s">
        <v>1562</v>
      </c>
      <c r="E122" s="4">
        <v>3</v>
      </c>
      <c r="F122" s="4">
        <f>Dodatni!H19</f>
        <v>121</v>
      </c>
      <c r="H122" s="20">
        <f t="shared" si="4"/>
        <v>0</v>
      </c>
      <c r="I122" s="4">
        <f t="shared" si="5"/>
        <v>0</v>
      </c>
      <c r="J122" s="21">
        <f>Dodatni!I19</f>
        <v>0</v>
      </c>
      <c r="K122" s="21">
        <f>Dodatni!J19</f>
        <v>0</v>
      </c>
    </row>
    <row r="123" spans="4:11" ht="12.75">
      <c r="D123" s="4" t="s">
        <v>1562</v>
      </c>
      <c r="E123" s="4">
        <v>3</v>
      </c>
      <c r="F123" s="4">
        <f>Dodatni!H20</f>
        <v>122</v>
      </c>
      <c r="H123" s="20">
        <f t="shared" si="4"/>
        <v>0</v>
      </c>
      <c r="I123" s="4">
        <f t="shared" si="5"/>
        <v>0</v>
      </c>
      <c r="J123" s="21">
        <f>Dodatni!I20</f>
        <v>0</v>
      </c>
      <c r="K123" s="21">
        <f>Dodatni!J20</f>
        <v>0</v>
      </c>
    </row>
    <row r="124" spans="4:11" ht="12.75">
      <c r="D124" s="4" t="s">
        <v>1562</v>
      </c>
      <c r="E124" s="4">
        <v>3</v>
      </c>
      <c r="F124" s="4">
        <f>Dodatni!H21</f>
        <v>123</v>
      </c>
      <c r="H124" s="20">
        <f t="shared" si="4"/>
        <v>0</v>
      </c>
      <c r="I124" s="4">
        <f t="shared" si="5"/>
        <v>0</v>
      </c>
      <c r="J124" s="21">
        <f>Dodatni!I21</f>
        <v>0</v>
      </c>
      <c r="K124" s="21">
        <f>Dodatni!J21</f>
        <v>0</v>
      </c>
    </row>
    <row r="125" spans="4:11" ht="12.75">
      <c r="D125" s="4" t="s">
        <v>1562</v>
      </c>
      <c r="E125" s="4">
        <v>3</v>
      </c>
      <c r="F125" s="4">
        <f>Dodatni!H22</f>
        <v>124</v>
      </c>
      <c r="H125" s="20">
        <f t="shared" si="4"/>
        <v>0</v>
      </c>
      <c r="I125" s="4">
        <f t="shared" si="5"/>
        <v>0</v>
      </c>
      <c r="J125" s="21">
        <f>Dodatni!I22</f>
        <v>0</v>
      </c>
      <c r="K125" s="21">
        <f>Dodatni!J22</f>
        <v>0</v>
      </c>
    </row>
    <row r="126" spans="4:11" ht="12.75">
      <c r="D126" s="4" t="s">
        <v>1562</v>
      </c>
      <c r="E126" s="4">
        <v>3</v>
      </c>
      <c r="F126" s="4">
        <f>Dodatni!H23</f>
        <v>125</v>
      </c>
      <c r="H126" s="20">
        <f t="shared" si="4"/>
        <v>0</v>
      </c>
      <c r="I126" s="4">
        <f t="shared" si="5"/>
        <v>0</v>
      </c>
      <c r="J126" s="21">
        <f>Dodatni!I23</f>
        <v>0</v>
      </c>
      <c r="K126" s="21">
        <f>Dodatni!J23</f>
        <v>0</v>
      </c>
    </row>
    <row r="127" spans="4:11" ht="12.75">
      <c r="D127" s="4" t="s">
        <v>1562</v>
      </c>
      <c r="E127" s="4">
        <v>3</v>
      </c>
      <c r="F127" s="4">
        <f>Dodatni!H24</f>
        <v>126</v>
      </c>
      <c r="H127" s="20">
        <f t="shared" si="4"/>
        <v>0</v>
      </c>
      <c r="I127" s="4">
        <f t="shared" si="5"/>
        <v>0</v>
      </c>
      <c r="J127" s="21">
        <f>Dodatni!I24</f>
        <v>0</v>
      </c>
      <c r="K127" s="21">
        <f>Dodatni!J24</f>
        <v>0</v>
      </c>
    </row>
    <row r="128" spans="4:11" ht="12.75">
      <c r="D128" s="4" t="s">
        <v>1562</v>
      </c>
      <c r="E128" s="4">
        <v>3</v>
      </c>
      <c r="F128" s="4">
        <f>Dodatni!H25</f>
        <v>127</v>
      </c>
      <c r="H128" s="20">
        <f t="shared" si="4"/>
        <v>0</v>
      </c>
      <c r="I128" s="4">
        <f t="shared" si="5"/>
        <v>0</v>
      </c>
      <c r="J128" s="21">
        <f>Dodatni!I25</f>
        <v>0</v>
      </c>
      <c r="K128" s="21">
        <f>Dodatni!J25</f>
        <v>0</v>
      </c>
    </row>
    <row r="129" spans="4:11" ht="12.75">
      <c r="D129" s="4" t="s">
        <v>1562</v>
      </c>
      <c r="E129" s="4">
        <v>3</v>
      </c>
      <c r="F129" s="4">
        <f>Dodatni!H26</f>
        <v>128</v>
      </c>
      <c r="H129" s="20">
        <f t="shared" si="4"/>
        <v>0</v>
      </c>
      <c r="I129" s="4">
        <f t="shared" si="5"/>
        <v>0</v>
      </c>
      <c r="J129" s="21">
        <f>Dodatni!I26</f>
        <v>0</v>
      </c>
      <c r="K129" s="21">
        <f>Dodatni!J26</f>
        <v>0</v>
      </c>
    </row>
    <row r="130" spans="4:11" ht="12.75">
      <c r="D130" s="4" t="s">
        <v>1562</v>
      </c>
      <c r="E130" s="4">
        <v>3</v>
      </c>
      <c r="F130" s="4">
        <f>Dodatni!H27</f>
        <v>129</v>
      </c>
      <c r="H130" s="20">
        <f t="shared" si="4"/>
        <v>0</v>
      </c>
      <c r="I130" s="4">
        <f t="shared" si="5"/>
        <v>0</v>
      </c>
      <c r="J130" s="21">
        <f>Dodatni!I27</f>
        <v>0</v>
      </c>
      <c r="K130" s="21">
        <f>Dodatni!J27</f>
        <v>0</v>
      </c>
    </row>
    <row r="131" spans="4:11" ht="12.75">
      <c r="D131" s="4" t="s">
        <v>1562</v>
      </c>
      <c r="E131" s="4">
        <v>3</v>
      </c>
      <c r="F131" s="4">
        <f>Dodatni!H28</f>
        <v>130</v>
      </c>
      <c r="H131" s="20">
        <f t="shared" si="4"/>
        <v>0</v>
      </c>
      <c r="I131" s="4">
        <f t="shared" si="5"/>
        <v>0</v>
      </c>
      <c r="J131" s="21">
        <f>Dodatni!I28</f>
        <v>0</v>
      </c>
      <c r="K131" s="21">
        <f>Dodatni!J28</f>
        <v>0</v>
      </c>
    </row>
    <row r="132" spans="4:11" ht="12.75">
      <c r="D132" s="4" t="s">
        <v>1562</v>
      </c>
      <c r="E132" s="4">
        <v>3</v>
      </c>
      <c r="F132" s="4">
        <f>Dodatni!H29</f>
        <v>131</v>
      </c>
      <c r="H132" s="20">
        <f t="shared" si="4"/>
        <v>0</v>
      </c>
      <c r="I132" s="4">
        <f t="shared" si="5"/>
        <v>0</v>
      </c>
      <c r="J132" s="21">
        <f>Dodatni!I29</f>
        <v>0</v>
      </c>
      <c r="K132" s="21">
        <f>Dodatni!J29</f>
        <v>0</v>
      </c>
    </row>
    <row r="133" spans="4:11" ht="12.75">
      <c r="D133" s="4" t="s">
        <v>1562</v>
      </c>
      <c r="E133" s="4">
        <v>3</v>
      </c>
      <c r="F133" s="4">
        <f>Dodatni!H30</f>
        <v>132</v>
      </c>
      <c r="H133" s="20">
        <f t="shared" si="4"/>
        <v>0</v>
      </c>
      <c r="I133" s="4">
        <f t="shared" si="5"/>
        <v>0</v>
      </c>
      <c r="J133" s="21">
        <f>Dodatni!I30</f>
        <v>0</v>
      </c>
      <c r="K133" s="21">
        <f>Dodatni!J30</f>
        <v>0</v>
      </c>
    </row>
    <row r="134" spans="4:11" ht="12.75">
      <c r="D134" s="4" t="s">
        <v>1562</v>
      </c>
      <c r="E134" s="4">
        <v>3</v>
      </c>
      <c r="F134" s="4">
        <f>Dodatni!H31</f>
        <v>133</v>
      </c>
      <c r="H134" s="20">
        <f t="shared" si="4"/>
        <v>0</v>
      </c>
      <c r="I134" s="4">
        <f t="shared" si="5"/>
        <v>0</v>
      </c>
      <c r="J134" s="21">
        <f>Dodatni!I31</f>
        <v>0</v>
      </c>
      <c r="K134" s="21">
        <f>Dodatni!J31</f>
        <v>0</v>
      </c>
    </row>
    <row r="135" spans="4:11" ht="12.75">
      <c r="D135" s="4" t="s">
        <v>1562</v>
      </c>
      <c r="E135" s="4">
        <v>3</v>
      </c>
      <c r="F135" s="4">
        <f>Dodatni!H32</f>
        <v>134</v>
      </c>
      <c r="H135" s="20">
        <f t="shared" si="4"/>
        <v>0</v>
      </c>
      <c r="I135" s="4">
        <f t="shared" si="5"/>
        <v>0</v>
      </c>
      <c r="J135" s="21">
        <f>Dodatni!I32</f>
        <v>0</v>
      </c>
      <c r="K135" s="21">
        <f>Dodatni!J32</f>
        <v>0</v>
      </c>
    </row>
    <row r="136" spans="4:11" ht="12.75">
      <c r="D136" s="4" t="s">
        <v>1562</v>
      </c>
      <c r="E136" s="4">
        <v>3</v>
      </c>
      <c r="F136" s="4">
        <f>Dodatni!H33</f>
        <v>135</v>
      </c>
      <c r="H136" s="20">
        <f t="shared" si="4"/>
        <v>0</v>
      </c>
      <c r="I136" s="4">
        <f t="shared" si="5"/>
        <v>0</v>
      </c>
      <c r="J136" s="21">
        <f>Dodatni!I33</f>
        <v>0</v>
      </c>
      <c r="K136" s="21">
        <f>Dodatni!J33</f>
        <v>0</v>
      </c>
    </row>
    <row r="137" spans="4:11" ht="12.75">
      <c r="D137" s="4" t="s">
        <v>1562</v>
      </c>
      <c r="E137" s="4">
        <v>3</v>
      </c>
      <c r="F137" s="4">
        <f>Dodatni!H34</f>
        <v>136</v>
      </c>
      <c r="H137" s="20">
        <f t="shared" si="4"/>
        <v>0</v>
      </c>
      <c r="I137" s="4">
        <f t="shared" si="5"/>
        <v>0</v>
      </c>
      <c r="J137" s="21">
        <f>Dodatni!I34</f>
        <v>0</v>
      </c>
      <c r="K137" s="21">
        <f>Dodatni!J34</f>
        <v>0</v>
      </c>
    </row>
    <row r="138" spans="4:11" ht="12.75">
      <c r="D138" s="4" t="s">
        <v>1562</v>
      </c>
      <c r="E138" s="4">
        <v>3</v>
      </c>
      <c r="F138" s="4">
        <f>Dodatni!H35</f>
        <v>137</v>
      </c>
      <c r="H138" s="20">
        <f t="shared" si="4"/>
        <v>0</v>
      </c>
      <c r="I138" s="4">
        <f t="shared" si="5"/>
        <v>0</v>
      </c>
      <c r="J138" s="21">
        <f>Dodatni!I35</f>
        <v>0</v>
      </c>
      <c r="K138" s="21">
        <f>Dodatni!J35</f>
        <v>0</v>
      </c>
    </row>
    <row r="139" spans="4:11" ht="12.75">
      <c r="D139" s="4" t="s">
        <v>1562</v>
      </c>
      <c r="E139" s="4">
        <v>3</v>
      </c>
      <c r="F139" s="4">
        <f>Dodatni!H36</f>
        <v>138</v>
      </c>
      <c r="H139" s="20">
        <f t="shared" si="4"/>
        <v>0</v>
      </c>
      <c r="I139" s="4">
        <f t="shared" si="5"/>
        <v>0</v>
      </c>
      <c r="J139" s="21">
        <f>Dodatni!I36</f>
        <v>0</v>
      </c>
      <c r="K139" s="21">
        <f>Dodatni!J36</f>
        <v>0</v>
      </c>
    </row>
    <row r="140" spans="4:11" ht="12.75">
      <c r="D140" s="4" t="s">
        <v>1562</v>
      </c>
      <c r="E140" s="4">
        <v>3</v>
      </c>
      <c r="F140" s="4">
        <f>Dodatni!H37</f>
        <v>139</v>
      </c>
      <c r="H140" s="20">
        <f t="shared" si="4"/>
        <v>0</v>
      </c>
      <c r="I140" s="4">
        <f t="shared" si="5"/>
        <v>0</v>
      </c>
      <c r="J140" s="21">
        <f>Dodatni!I37</f>
        <v>0</v>
      </c>
      <c r="K140" s="21">
        <f>Dodatni!J37</f>
        <v>0</v>
      </c>
    </row>
    <row r="141" spans="4:11" ht="12.75">
      <c r="D141" s="4" t="s">
        <v>1562</v>
      </c>
      <c r="E141" s="4">
        <v>3</v>
      </c>
      <c r="F141" s="4">
        <f>Dodatni!H38</f>
        <v>140</v>
      </c>
      <c r="H141" s="20">
        <f t="shared" si="4"/>
        <v>0</v>
      </c>
      <c r="I141" s="4">
        <f t="shared" si="5"/>
        <v>0</v>
      </c>
      <c r="J141" s="21">
        <f>Dodatni!I38</f>
        <v>0</v>
      </c>
      <c r="K141" s="21">
        <f>Dodatni!J38</f>
        <v>0</v>
      </c>
    </row>
    <row r="142" spans="4:11" ht="12.75">
      <c r="D142" s="4" t="s">
        <v>1562</v>
      </c>
      <c r="E142" s="4">
        <v>3</v>
      </c>
      <c r="F142" s="4">
        <f>Dodatni!H39</f>
        <v>141</v>
      </c>
      <c r="H142" s="20">
        <f t="shared" si="4"/>
        <v>0</v>
      </c>
      <c r="I142" s="4">
        <f t="shared" si="5"/>
        <v>0</v>
      </c>
      <c r="J142" s="21">
        <f>Dodatni!I39</f>
        <v>0</v>
      </c>
      <c r="K142" s="21">
        <f>Dodatni!J39</f>
        <v>0</v>
      </c>
    </row>
    <row r="143" spans="4:11" ht="12.75">
      <c r="D143" s="4" t="s">
        <v>1562</v>
      </c>
      <c r="E143" s="4">
        <v>3</v>
      </c>
      <c r="F143" s="4">
        <f>Dodatni!H40</f>
        <v>142</v>
      </c>
      <c r="H143" s="20">
        <f t="shared" si="4"/>
        <v>0</v>
      </c>
      <c r="I143" s="4">
        <f t="shared" si="5"/>
        <v>0</v>
      </c>
      <c r="J143" s="21">
        <f>Dodatni!I40</f>
        <v>0</v>
      </c>
      <c r="K143" s="21">
        <f>Dodatni!J40</f>
        <v>0</v>
      </c>
    </row>
    <row r="144" spans="4:11" ht="12.75">
      <c r="D144" s="4" t="s">
        <v>1562</v>
      </c>
      <c r="E144" s="4">
        <v>3</v>
      </c>
      <c r="F144" s="4">
        <f>Dodatni!H41</f>
        <v>143</v>
      </c>
      <c r="H144" s="20">
        <f t="shared" si="4"/>
        <v>0</v>
      </c>
      <c r="I144" s="4">
        <f t="shared" si="5"/>
        <v>0</v>
      </c>
      <c r="J144" s="21">
        <f>Dodatni!I41</f>
        <v>0</v>
      </c>
      <c r="K144" s="21">
        <f>Dodatni!J41</f>
        <v>0</v>
      </c>
    </row>
    <row r="145" spans="4:11" ht="12.75">
      <c r="D145" s="4" t="s">
        <v>1562</v>
      </c>
      <c r="E145" s="4">
        <v>3</v>
      </c>
      <c r="F145" s="4">
        <f>Dodatni!H42</f>
        <v>144</v>
      </c>
      <c r="H145" s="20">
        <f t="shared" si="4"/>
        <v>0</v>
      </c>
      <c r="I145" s="4">
        <f t="shared" si="5"/>
        <v>0</v>
      </c>
      <c r="J145" s="21">
        <f>Dodatni!I42</f>
        <v>0</v>
      </c>
      <c r="K145" s="21">
        <f>Dodatni!J42</f>
        <v>0</v>
      </c>
    </row>
    <row r="146" spans="4:11" ht="12.75">
      <c r="D146" s="4" t="s">
        <v>1562</v>
      </c>
      <c r="E146" s="4">
        <v>3</v>
      </c>
      <c r="F146" s="4">
        <f>Dodatni!H43</f>
        <v>145</v>
      </c>
      <c r="H146" s="20">
        <f t="shared" si="4"/>
        <v>0</v>
      </c>
      <c r="I146" s="4">
        <f t="shared" si="5"/>
        <v>0</v>
      </c>
      <c r="J146" s="21">
        <f>Dodatni!I43</f>
        <v>0</v>
      </c>
      <c r="K146" s="21">
        <f>Dodatni!J43</f>
        <v>0</v>
      </c>
    </row>
    <row r="147" spans="4:11" ht="12.75">
      <c r="D147" s="4" t="s">
        <v>1562</v>
      </c>
      <c r="E147" s="4">
        <v>3</v>
      </c>
      <c r="F147" s="4">
        <f>Dodatni!H44</f>
        <v>146</v>
      </c>
      <c r="H147" s="20">
        <f t="shared" si="4"/>
        <v>0</v>
      </c>
      <c r="I147" s="4">
        <f t="shared" si="5"/>
        <v>0</v>
      </c>
      <c r="J147" s="21">
        <f>Dodatni!I44</f>
        <v>0</v>
      </c>
      <c r="K147" s="21">
        <f>Dodatni!J44</f>
        <v>0</v>
      </c>
    </row>
    <row r="148" spans="4:11" ht="12.75">
      <c r="D148" s="4" t="s">
        <v>1562</v>
      </c>
      <c r="E148" s="4">
        <v>3</v>
      </c>
      <c r="F148" s="4">
        <f>Dodatni!H45</f>
        <v>147</v>
      </c>
      <c r="H148" s="20">
        <f t="shared" si="4"/>
        <v>0</v>
      </c>
      <c r="I148" s="4">
        <f t="shared" si="5"/>
        <v>0</v>
      </c>
      <c r="J148" s="21">
        <f>Dodatni!I45</f>
        <v>0</v>
      </c>
      <c r="K148" s="21">
        <f>Dodatni!J45</f>
        <v>0</v>
      </c>
    </row>
    <row r="149" spans="4:11" ht="12.75">
      <c r="D149" s="4" t="s">
        <v>1562</v>
      </c>
      <c r="E149" s="4">
        <v>3</v>
      </c>
      <c r="F149" s="4">
        <f>Dodatni!H46</f>
        <v>148</v>
      </c>
      <c r="H149" s="20">
        <f t="shared" si="4"/>
        <v>0</v>
      </c>
      <c r="I149" s="4">
        <f t="shared" si="5"/>
        <v>0</v>
      </c>
      <c r="J149" s="21">
        <f>Dodatni!I46</f>
        <v>0</v>
      </c>
      <c r="K149" s="21">
        <f>Dodatni!J46</f>
        <v>0</v>
      </c>
    </row>
    <row r="150" spans="4:11" ht="12.75">
      <c r="D150" s="4" t="s">
        <v>1562</v>
      </c>
      <c r="E150" s="4">
        <v>3</v>
      </c>
      <c r="F150" s="4">
        <f>Dodatni!H47</f>
        <v>149</v>
      </c>
      <c r="H150" s="20">
        <f t="shared" si="4"/>
        <v>0</v>
      </c>
      <c r="I150" s="4">
        <f t="shared" si="5"/>
        <v>0</v>
      </c>
      <c r="J150" s="21">
        <f>Dodatni!I47</f>
        <v>0</v>
      </c>
      <c r="K150" s="21">
        <f>Dodatni!J47</f>
        <v>0</v>
      </c>
    </row>
    <row r="151" spans="4:11" ht="12.75">
      <c r="D151" s="4" t="s">
        <v>1562</v>
      </c>
      <c r="E151" s="4">
        <v>3</v>
      </c>
      <c r="F151" s="4">
        <f>Dodatni!H48</f>
        <v>150</v>
      </c>
      <c r="H151" s="20">
        <f t="shared" si="4"/>
        <v>0</v>
      </c>
      <c r="I151" s="4">
        <f t="shared" si="5"/>
        <v>0</v>
      </c>
      <c r="J151" s="21">
        <f>Dodatni!I48</f>
        <v>0</v>
      </c>
      <c r="K151" s="21">
        <f>Dodatni!J48</f>
        <v>0</v>
      </c>
    </row>
    <row r="152" spans="4:11" ht="12.75">
      <c r="D152" s="4" t="s">
        <v>1562</v>
      </c>
      <c r="E152" s="4">
        <v>3</v>
      </c>
      <c r="F152" s="4">
        <f>Dodatni!H49</f>
        <v>151</v>
      </c>
      <c r="H152" s="20">
        <f t="shared" si="4"/>
        <v>0</v>
      </c>
      <c r="I152" s="4">
        <f t="shared" si="5"/>
        <v>0</v>
      </c>
      <c r="J152" s="21">
        <f>Dodatni!I49</f>
        <v>0</v>
      </c>
      <c r="K152" s="21">
        <f>Dodatni!J49</f>
        <v>0</v>
      </c>
    </row>
    <row r="153" spans="4:11" ht="12.75">
      <c r="D153" s="4" t="s">
        <v>1562</v>
      </c>
      <c r="E153" s="4">
        <v>3</v>
      </c>
      <c r="F153" s="4">
        <f>Dodatni!H50</f>
        <v>152</v>
      </c>
      <c r="H153" s="20">
        <f t="shared" si="4"/>
        <v>0</v>
      </c>
      <c r="I153" s="4">
        <f t="shared" si="5"/>
        <v>0</v>
      </c>
      <c r="J153" s="21">
        <f>Dodatni!I50</f>
        <v>0</v>
      </c>
      <c r="K153" s="21">
        <f>Dodatni!J50</f>
        <v>0</v>
      </c>
    </row>
    <row r="154" spans="4:11" ht="12.75">
      <c r="D154" s="4" t="s">
        <v>1562</v>
      </c>
      <c r="E154" s="4">
        <v>3</v>
      </c>
      <c r="F154" s="4">
        <f>Dodatni!H51</f>
        <v>153</v>
      </c>
      <c r="H154" s="20">
        <f t="shared" si="4"/>
        <v>0</v>
      </c>
      <c r="I154" s="4">
        <f t="shared" si="5"/>
        <v>0</v>
      </c>
      <c r="J154" s="21">
        <f>Dodatni!I51</f>
        <v>0</v>
      </c>
      <c r="K154" s="21">
        <f>Dodatni!J51</f>
        <v>0</v>
      </c>
    </row>
    <row r="155" spans="4:11" ht="12.75">
      <c r="D155" s="4" t="s">
        <v>1562</v>
      </c>
      <c r="E155" s="4">
        <v>3</v>
      </c>
      <c r="F155" s="4">
        <f>Dodatni!H52</f>
        <v>154</v>
      </c>
      <c r="H155" s="20">
        <f t="shared" si="4"/>
        <v>0</v>
      </c>
      <c r="I155" s="4">
        <f t="shared" si="5"/>
        <v>0</v>
      </c>
      <c r="J155" s="21">
        <f>Dodatni!I52</f>
        <v>0</v>
      </c>
      <c r="K155" s="21">
        <f>Dodatni!J52</f>
        <v>0</v>
      </c>
    </row>
    <row r="156" spans="4:11" ht="12.75">
      <c r="D156" s="4" t="s">
        <v>1562</v>
      </c>
      <c r="E156" s="4">
        <v>3</v>
      </c>
      <c r="F156" s="4">
        <f>Dodatni!H53</f>
        <v>155</v>
      </c>
      <c r="H156" s="20">
        <f t="shared" si="4"/>
        <v>0</v>
      </c>
      <c r="I156" s="4">
        <f t="shared" si="5"/>
        <v>0</v>
      </c>
      <c r="J156" s="21">
        <f>Dodatni!I53</f>
        <v>0</v>
      </c>
      <c r="K156" s="21">
        <f>Dodatni!J53</f>
        <v>0</v>
      </c>
    </row>
    <row r="157" spans="4:11" ht="12.75">
      <c r="D157" s="4" t="s">
        <v>1562</v>
      </c>
      <c r="E157" s="4">
        <v>3</v>
      </c>
      <c r="F157" s="4">
        <f>Dodatni!H54</f>
        <v>156</v>
      </c>
      <c r="H157" s="20">
        <f t="shared" si="4"/>
        <v>0</v>
      </c>
      <c r="I157" s="4">
        <f t="shared" si="5"/>
        <v>0</v>
      </c>
      <c r="J157" s="21">
        <f>Dodatni!I54</f>
        <v>0</v>
      </c>
      <c r="K157" s="21">
        <f>Dodatni!J54</f>
        <v>0</v>
      </c>
    </row>
    <row r="158" spans="4:11" ht="12.75">
      <c r="D158" s="4" t="s">
        <v>1562</v>
      </c>
      <c r="E158" s="4">
        <v>3</v>
      </c>
      <c r="F158" s="4">
        <f>Dodatni!H55</f>
        <v>157</v>
      </c>
      <c r="H158" s="20">
        <f t="shared" si="4"/>
        <v>0</v>
      </c>
      <c r="I158" s="4">
        <f t="shared" si="5"/>
        <v>0</v>
      </c>
      <c r="J158" s="21">
        <f>Dodatni!I55</f>
        <v>0</v>
      </c>
      <c r="K158" s="21">
        <f>Dodatni!J55</f>
        <v>0</v>
      </c>
    </row>
    <row r="159" spans="4:11" ht="12.75">
      <c r="D159" s="4" t="s">
        <v>1562</v>
      </c>
      <c r="E159" s="4">
        <v>3</v>
      </c>
      <c r="F159" s="4">
        <f>Dodatni!H56</f>
        <v>158</v>
      </c>
      <c r="H159" s="20">
        <f t="shared" si="4"/>
        <v>0</v>
      </c>
      <c r="I159" s="4">
        <f t="shared" si="5"/>
        <v>0</v>
      </c>
      <c r="J159" s="21">
        <f>Dodatni!I56</f>
        <v>0</v>
      </c>
      <c r="K159" s="21">
        <f>Dodatni!J56</f>
        <v>0</v>
      </c>
    </row>
    <row r="160" spans="4:11" ht="12.75">
      <c r="D160" s="4" t="s">
        <v>1562</v>
      </c>
      <c r="E160" s="4">
        <v>3</v>
      </c>
      <c r="F160" s="4">
        <f>Dodatni!H57</f>
        <v>159</v>
      </c>
      <c r="H160" s="20">
        <f t="shared" si="4"/>
        <v>0</v>
      </c>
      <c r="I160" s="4">
        <f t="shared" si="5"/>
        <v>0</v>
      </c>
      <c r="J160" s="21">
        <f>Dodatni!I57</f>
        <v>0</v>
      </c>
      <c r="K160" s="21">
        <f>Dodatni!J57</f>
        <v>0</v>
      </c>
    </row>
    <row r="161" spans="4:11" ht="12.75">
      <c r="D161" s="4" t="s">
        <v>1562</v>
      </c>
      <c r="E161" s="4">
        <v>3</v>
      </c>
      <c r="F161" s="4">
        <f>Dodatni!H58</f>
        <v>160</v>
      </c>
      <c r="H161" s="20">
        <f t="shared" si="4"/>
        <v>0</v>
      </c>
      <c r="I161" s="4">
        <f t="shared" si="5"/>
        <v>0</v>
      </c>
      <c r="J161" s="21">
        <f>Dodatni!I58</f>
        <v>0</v>
      </c>
      <c r="K161" s="21">
        <f>Dodatni!J58</f>
        <v>0</v>
      </c>
    </row>
    <row r="162" spans="4:11" ht="12.75">
      <c r="D162" s="4" t="s">
        <v>1562</v>
      </c>
      <c r="E162" s="4">
        <v>3</v>
      </c>
      <c r="F162" s="4">
        <f>Dodatni!H59</f>
        <v>161</v>
      </c>
      <c r="H162" s="20">
        <f t="shared" si="4"/>
        <v>0</v>
      </c>
      <c r="I162" s="4">
        <f t="shared" si="5"/>
        <v>0</v>
      </c>
      <c r="J162" s="21">
        <f>Dodatni!I59</f>
        <v>0</v>
      </c>
      <c r="K162" s="21">
        <f>Dodatni!J59</f>
        <v>0</v>
      </c>
    </row>
    <row r="163" spans="4:11" ht="12.75">
      <c r="D163" s="4" t="s">
        <v>1562</v>
      </c>
      <c r="E163" s="4">
        <v>3</v>
      </c>
      <c r="F163" s="4">
        <f>Dodatni!H60</f>
        <v>162</v>
      </c>
      <c r="H163" s="20">
        <f t="shared" si="4"/>
        <v>0</v>
      </c>
      <c r="I163" s="4">
        <f t="shared" si="5"/>
        <v>0</v>
      </c>
      <c r="J163" s="21">
        <f>Dodatni!I60</f>
        <v>0</v>
      </c>
      <c r="K163" s="21">
        <f>Dodatni!J60</f>
        <v>0</v>
      </c>
    </row>
    <row r="164" spans="4:11" ht="12.75">
      <c r="D164" s="4" t="s">
        <v>1562</v>
      </c>
      <c r="E164" s="4">
        <v>3</v>
      </c>
      <c r="F164" s="4">
        <f>Dodatni!H61</f>
        <v>163</v>
      </c>
      <c r="H164" s="20">
        <f t="shared" si="4"/>
        <v>0</v>
      </c>
      <c r="I164" s="4">
        <f t="shared" si="5"/>
        <v>0</v>
      </c>
      <c r="J164" s="21">
        <f>Dodatni!I61</f>
        <v>0</v>
      </c>
      <c r="K164" s="21">
        <f>Dodatni!J61</f>
        <v>0</v>
      </c>
    </row>
    <row r="165" spans="4:11" ht="12.75">
      <c r="D165" s="4" t="s">
        <v>1562</v>
      </c>
      <c r="E165" s="4">
        <v>3</v>
      </c>
      <c r="F165" s="4">
        <f>Dodatni!H62</f>
        <v>164</v>
      </c>
      <c r="H165" s="20">
        <f t="shared" si="4"/>
        <v>0</v>
      </c>
      <c r="I165" s="4">
        <f t="shared" si="5"/>
        <v>0</v>
      </c>
      <c r="J165" s="21">
        <f>Dodatni!I62</f>
        <v>0</v>
      </c>
      <c r="K165" s="21">
        <f>Dodatni!J62</f>
        <v>0</v>
      </c>
    </row>
    <row r="166" spans="4:11" ht="12.75">
      <c r="D166" s="4" t="s">
        <v>1562</v>
      </c>
      <c r="E166" s="4">
        <v>3</v>
      </c>
      <c r="F166" s="4">
        <f>Dodatni!H63</f>
        <v>165</v>
      </c>
      <c r="H166" s="20">
        <f t="shared" si="4"/>
        <v>0</v>
      </c>
      <c r="I166" s="4">
        <f t="shared" si="5"/>
        <v>0</v>
      </c>
      <c r="J166" s="21">
        <f>Dodatni!I63</f>
        <v>0</v>
      </c>
      <c r="K166" s="21">
        <f>Dodatni!J63</f>
        <v>0</v>
      </c>
    </row>
    <row r="167" spans="4:11" ht="12.75">
      <c r="D167" s="4" t="s">
        <v>1562</v>
      </c>
      <c r="E167" s="4">
        <v>3</v>
      </c>
      <c r="F167" s="4">
        <f>Dodatni!H64</f>
        <v>166</v>
      </c>
      <c r="H167" s="20">
        <f t="shared" si="4"/>
        <v>0</v>
      </c>
      <c r="I167" s="4">
        <f t="shared" si="5"/>
        <v>0</v>
      </c>
      <c r="J167" s="21">
        <f>Dodatni!I64</f>
        <v>0</v>
      </c>
      <c r="K167" s="21">
        <f>Dodatni!J64</f>
        <v>0</v>
      </c>
    </row>
    <row r="168" spans="4:11" ht="12.75">
      <c r="D168" s="4" t="s">
        <v>1562</v>
      </c>
      <c r="E168" s="4">
        <v>3</v>
      </c>
      <c r="F168" s="4">
        <f>Dodatni!H65</f>
        <v>167</v>
      </c>
      <c r="H168" s="20">
        <f aca="true" t="shared" si="6" ref="H168:H177">J168/100*F168+2*K168/100*F168</f>
        <v>0</v>
      </c>
      <c r="I168" s="4">
        <f aca="true" t="shared" si="7" ref="I168:I177">ABS(ROUND(J168,0)-J168)+ABS(ROUND(K168,0)-K168)</f>
        <v>0</v>
      </c>
      <c r="J168" s="21">
        <f>Dodatni!I65</f>
        <v>0</v>
      </c>
      <c r="K168" s="21">
        <f>Dodatni!J65</f>
        <v>0</v>
      </c>
    </row>
    <row r="169" spans="4:11" ht="12.75">
      <c r="D169" s="4" t="s">
        <v>1562</v>
      </c>
      <c r="E169" s="4">
        <v>3</v>
      </c>
      <c r="F169" s="4">
        <f>Dodatni!H66</f>
        <v>168</v>
      </c>
      <c r="H169" s="20">
        <f t="shared" si="6"/>
        <v>0</v>
      </c>
      <c r="I169" s="4">
        <f t="shared" si="7"/>
        <v>0</v>
      </c>
      <c r="J169" s="21">
        <f>Dodatni!I66</f>
        <v>0</v>
      </c>
      <c r="K169" s="21">
        <f>Dodatni!J66</f>
        <v>0</v>
      </c>
    </row>
    <row r="170" spans="4:11" ht="12.75">
      <c r="D170" s="4" t="s">
        <v>1562</v>
      </c>
      <c r="E170" s="4">
        <v>3</v>
      </c>
      <c r="F170" s="4">
        <f>Dodatni!H67</f>
        <v>169</v>
      </c>
      <c r="H170" s="20">
        <f t="shared" si="6"/>
        <v>0</v>
      </c>
      <c r="I170" s="4">
        <f t="shared" si="7"/>
        <v>0</v>
      </c>
      <c r="J170" s="21">
        <f>Dodatni!I67</f>
        <v>0</v>
      </c>
      <c r="K170" s="21">
        <f>Dodatni!J67</f>
        <v>0</v>
      </c>
    </row>
    <row r="171" spans="4:11" ht="12.75">
      <c r="D171" s="4" t="s">
        <v>1562</v>
      </c>
      <c r="E171" s="4">
        <v>3</v>
      </c>
      <c r="F171" s="4">
        <f>Dodatni!H68</f>
        <v>170</v>
      </c>
      <c r="H171" s="20">
        <f t="shared" si="6"/>
        <v>0</v>
      </c>
      <c r="I171" s="4">
        <f t="shared" si="7"/>
        <v>0</v>
      </c>
      <c r="J171" s="21">
        <f>Dodatni!I68</f>
        <v>0</v>
      </c>
      <c r="K171" s="21">
        <f>Dodatni!J68</f>
        <v>0</v>
      </c>
    </row>
    <row r="172" spans="4:11" ht="12.75">
      <c r="D172" s="4" t="s">
        <v>1562</v>
      </c>
      <c r="E172" s="4">
        <v>3</v>
      </c>
      <c r="F172" s="4">
        <f>Dodatni!H69</f>
        <v>171</v>
      </c>
      <c r="H172" s="20">
        <f t="shared" si="6"/>
        <v>0</v>
      </c>
      <c r="I172" s="4">
        <f t="shared" si="7"/>
        <v>0</v>
      </c>
      <c r="J172" s="21">
        <f>Dodatni!I69</f>
        <v>0</v>
      </c>
      <c r="K172" s="21">
        <f>Dodatni!J69</f>
        <v>0</v>
      </c>
    </row>
    <row r="173" spans="4:11" ht="12.75">
      <c r="D173" s="4" t="s">
        <v>1562</v>
      </c>
      <c r="E173" s="4">
        <v>3</v>
      </c>
      <c r="F173" s="4">
        <f>Dodatni!H70</f>
        <v>172</v>
      </c>
      <c r="H173" s="20">
        <f t="shared" si="6"/>
        <v>0</v>
      </c>
      <c r="I173" s="4">
        <f t="shared" si="7"/>
        <v>0</v>
      </c>
      <c r="J173" s="21">
        <f>Dodatni!I70</f>
        <v>0</v>
      </c>
      <c r="K173" s="21">
        <f>Dodatni!J70</f>
        <v>0</v>
      </c>
    </row>
    <row r="174" spans="4:11" ht="12.75">
      <c r="D174" s="4" t="s">
        <v>1562</v>
      </c>
      <c r="E174" s="4">
        <v>3</v>
      </c>
      <c r="F174" s="4">
        <f>Dodatni!H71</f>
        <v>173</v>
      </c>
      <c r="H174" s="20">
        <f t="shared" si="6"/>
        <v>0</v>
      </c>
      <c r="I174" s="4">
        <f t="shared" si="7"/>
        <v>0</v>
      </c>
      <c r="J174" s="21">
        <f>Dodatni!I71</f>
        <v>0</v>
      </c>
      <c r="K174" s="21">
        <f>Dodatni!J71</f>
        <v>0</v>
      </c>
    </row>
    <row r="175" spans="4:11" ht="12.75">
      <c r="D175" s="4" t="s">
        <v>1562</v>
      </c>
      <c r="E175" s="4">
        <v>3</v>
      </c>
      <c r="F175" s="4">
        <f>Dodatni!H72</f>
        <v>174</v>
      </c>
      <c r="H175" s="20">
        <f t="shared" si="6"/>
        <v>0</v>
      </c>
      <c r="I175" s="4">
        <f t="shared" si="7"/>
        <v>0</v>
      </c>
      <c r="J175" s="21">
        <f>Dodatni!I72</f>
        <v>0</v>
      </c>
      <c r="K175" s="21">
        <f>Dodatni!J72</f>
        <v>0</v>
      </c>
    </row>
    <row r="176" spans="4:11" ht="12.75">
      <c r="D176" s="4" t="s">
        <v>1562</v>
      </c>
      <c r="E176" s="4">
        <v>3</v>
      </c>
      <c r="F176" s="4">
        <f>Dodatni!H73</f>
        <v>175</v>
      </c>
      <c r="H176" s="20">
        <f t="shared" si="6"/>
        <v>0</v>
      </c>
      <c r="I176" s="4">
        <f t="shared" si="7"/>
        <v>0</v>
      </c>
      <c r="J176" s="21">
        <f>Dodatni!I73</f>
        <v>0</v>
      </c>
      <c r="K176" s="21">
        <f>Dodatni!J73</f>
        <v>0</v>
      </c>
    </row>
    <row r="177" spans="4:11" ht="12.75">
      <c r="D177" s="4" t="s">
        <v>1562</v>
      </c>
      <c r="E177" s="4">
        <v>3</v>
      </c>
      <c r="F177" s="4">
        <f>Dodatni!H74</f>
        <v>176</v>
      </c>
      <c r="H177" s="20">
        <f t="shared" si="6"/>
        <v>0</v>
      </c>
      <c r="I177" s="4">
        <f t="shared" si="7"/>
        <v>0</v>
      </c>
      <c r="J177" s="21">
        <f>Dodatni!I74</f>
        <v>0</v>
      </c>
      <c r="K177" s="21">
        <f>Dodatni!J74</f>
        <v>0</v>
      </c>
    </row>
    <row r="178" spans="4:11" ht="12.75">
      <c r="D178" s="4" t="s">
        <v>1562</v>
      </c>
      <c r="E178" s="4">
        <v>3</v>
      </c>
      <c r="F178" s="4">
        <f>Dodatni!H75</f>
        <v>177</v>
      </c>
      <c r="H178" s="20">
        <f aca="true" t="shared" si="8" ref="H178:H190">J178/100*F178+2*K178/100*F178</f>
        <v>0</v>
      </c>
      <c r="I178" s="4">
        <f aca="true" t="shared" si="9" ref="I178:I190">ABS(ROUND(J178,0)-J178)+ABS(ROUND(K178,0)-K178)</f>
        <v>0</v>
      </c>
      <c r="J178" s="21">
        <f>Dodatni!I75</f>
        <v>0</v>
      </c>
      <c r="K178" s="21">
        <f>Dodatni!J75</f>
        <v>0</v>
      </c>
    </row>
    <row r="179" spans="4:11" ht="12.75">
      <c r="D179" s="4" t="s">
        <v>1562</v>
      </c>
      <c r="E179" s="4">
        <v>3</v>
      </c>
      <c r="F179" s="4">
        <f>Dodatni!H76</f>
        <v>178</v>
      </c>
      <c r="H179" s="20">
        <f t="shared" si="8"/>
        <v>0</v>
      </c>
      <c r="I179" s="4">
        <f t="shared" si="9"/>
        <v>0</v>
      </c>
      <c r="J179" s="21">
        <f>Dodatni!I76</f>
        <v>0</v>
      </c>
      <c r="K179" s="21">
        <f>Dodatni!J76</f>
        <v>0</v>
      </c>
    </row>
    <row r="180" spans="4:11" ht="12.75">
      <c r="D180" s="4" t="s">
        <v>1562</v>
      </c>
      <c r="E180" s="4">
        <v>3</v>
      </c>
      <c r="F180" s="4">
        <f>Dodatni!H77</f>
        <v>179</v>
      </c>
      <c r="H180" s="20">
        <f t="shared" si="8"/>
        <v>0</v>
      </c>
      <c r="I180" s="4">
        <f t="shared" si="9"/>
        <v>0</v>
      </c>
      <c r="J180" s="21">
        <f>Dodatni!I77</f>
        <v>0</v>
      </c>
      <c r="K180" s="21">
        <f>Dodatni!J77</f>
        <v>0</v>
      </c>
    </row>
    <row r="181" spans="4:11" ht="12.75">
      <c r="D181" s="4" t="s">
        <v>1562</v>
      </c>
      <c r="E181" s="4">
        <v>3</v>
      </c>
      <c r="F181" s="4">
        <f>Dodatni!H78</f>
        <v>180</v>
      </c>
      <c r="H181" s="20">
        <f t="shared" si="8"/>
        <v>0</v>
      </c>
      <c r="I181" s="4">
        <f t="shared" si="9"/>
        <v>0</v>
      </c>
      <c r="J181" s="21">
        <f>Dodatni!I78</f>
        <v>0</v>
      </c>
      <c r="K181" s="21">
        <f>Dodatni!J78</f>
        <v>0</v>
      </c>
    </row>
    <row r="182" spans="4:11" ht="12.75">
      <c r="D182" s="4" t="s">
        <v>1562</v>
      </c>
      <c r="E182" s="4">
        <v>3</v>
      </c>
      <c r="F182" s="4">
        <f>Dodatni!H79</f>
        <v>181</v>
      </c>
      <c r="H182" s="20">
        <f aca="true" t="shared" si="10" ref="H182:H187">J182/100*F182+2*K182/100*F182</f>
        <v>0</v>
      </c>
      <c r="I182" s="4">
        <f aca="true" t="shared" si="11" ref="I182:I187">ABS(ROUND(J182,0)-J182)+ABS(ROUND(K182,0)-K182)</f>
        <v>0</v>
      </c>
      <c r="J182" s="21">
        <f>Dodatni!I79</f>
        <v>0</v>
      </c>
      <c r="K182" s="21">
        <f>Dodatni!J79</f>
        <v>0</v>
      </c>
    </row>
    <row r="183" spans="4:11" ht="12.75">
      <c r="D183" s="4" t="s">
        <v>1562</v>
      </c>
      <c r="E183" s="4">
        <v>3</v>
      </c>
      <c r="F183" s="4">
        <f>Dodatni!H80</f>
        <v>182</v>
      </c>
      <c r="H183" s="20">
        <f t="shared" si="10"/>
        <v>0</v>
      </c>
      <c r="I183" s="4">
        <f t="shared" si="11"/>
        <v>0</v>
      </c>
      <c r="J183" s="21">
        <f>Dodatni!I80</f>
        <v>0</v>
      </c>
      <c r="K183" s="21">
        <f>Dodatni!J80</f>
        <v>0</v>
      </c>
    </row>
    <row r="184" spans="4:11" ht="12.75">
      <c r="D184" s="4" t="s">
        <v>1562</v>
      </c>
      <c r="E184" s="4">
        <v>3</v>
      </c>
      <c r="F184" s="4">
        <f>Dodatni!H81</f>
        <v>183</v>
      </c>
      <c r="H184" s="20">
        <f t="shared" si="10"/>
        <v>0</v>
      </c>
      <c r="I184" s="4">
        <f t="shared" si="11"/>
        <v>0</v>
      </c>
      <c r="J184" s="21">
        <f>Dodatni!I81</f>
        <v>0</v>
      </c>
      <c r="K184" s="21">
        <f>Dodatni!J81</f>
        <v>0</v>
      </c>
    </row>
    <row r="185" spans="4:11" ht="12.75">
      <c r="D185" s="4" t="s">
        <v>1562</v>
      </c>
      <c r="E185" s="4">
        <v>3</v>
      </c>
      <c r="F185" s="4">
        <f>Dodatni!H82</f>
        <v>184</v>
      </c>
      <c r="H185" s="20">
        <f t="shared" si="10"/>
        <v>0</v>
      </c>
      <c r="I185" s="4">
        <f t="shared" si="11"/>
        <v>0</v>
      </c>
      <c r="J185" s="21">
        <f>Dodatni!I82</f>
        <v>0</v>
      </c>
      <c r="K185" s="21">
        <f>Dodatni!J82</f>
        <v>0</v>
      </c>
    </row>
    <row r="186" spans="4:11" ht="12.75">
      <c r="D186" s="4" t="s">
        <v>1562</v>
      </c>
      <c r="E186" s="4">
        <v>3</v>
      </c>
      <c r="F186" s="4">
        <f>Dodatni!H83</f>
        <v>185</v>
      </c>
      <c r="H186" s="20">
        <f t="shared" si="10"/>
        <v>0</v>
      </c>
      <c r="I186" s="4">
        <f t="shared" si="11"/>
        <v>0</v>
      </c>
      <c r="J186" s="21">
        <f>Dodatni!I83</f>
        <v>0</v>
      </c>
      <c r="K186" s="21">
        <f>Dodatni!J83</f>
        <v>0</v>
      </c>
    </row>
    <row r="187" spans="4:11" ht="12.75">
      <c r="D187" s="4" t="s">
        <v>1562</v>
      </c>
      <c r="E187" s="4">
        <v>3</v>
      </c>
      <c r="F187" s="4">
        <f>Dodatni!H84</f>
        <v>186</v>
      </c>
      <c r="H187" s="20">
        <f t="shared" si="10"/>
        <v>0</v>
      </c>
      <c r="I187" s="4">
        <f t="shared" si="11"/>
        <v>0</v>
      </c>
      <c r="J187" s="21">
        <f>Dodatni!I84</f>
        <v>0</v>
      </c>
      <c r="K187" s="21">
        <f>Dodatni!J84</f>
        <v>0</v>
      </c>
    </row>
    <row r="188" spans="4:11" ht="12.75">
      <c r="D188" s="4" t="s">
        <v>1563</v>
      </c>
      <c r="E188" s="4">
        <v>4</v>
      </c>
      <c r="F188" s="4">
        <f>NT_I!G9</f>
        <v>1</v>
      </c>
      <c r="G188" s="4" t="str">
        <f>IF(NT_I!H9&lt;&gt;"",NT_I!H9,"")</f>
        <v>66</v>
      </c>
      <c r="H188" s="20">
        <f t="shared" si="8"/>
        <v>689128.55</v>
      </c>
      <c r="I188" s="4">
        <f t="shared" si="9"/>
        <v>0</v>
      </c>
      <c r="J188" s="21">
        <f>NT_I!I9</f>
        <v>26063673</v>
      </c>
      <c r="K188" s="21">
        <f>NT_I!J9</f>
        <v>21424591</v>
      </c>
    </row>
    <row r="189" spans="4:11" ht="12.75">
      <c r="D189" s="4" t="s">
        <v>1563</v>
      </c>
      <c r="E189" s="4">
        <v>4</v>
      </c>
      <c r="F189" s="4">
        <f>NT_I!G10</f>
        <v>2</v>
      </c>
      <c r="G189" s="4" t="str">
        <f>IF(NT_I!H10&lt;&gt;"",NT_I!H10,"")</f>
        <v>67</v>
      </c>
      <c r="H189" s="20">
        <f t="shared" si="8"/>
        <v>151825.8</v>
      </c>
      <c r="I189" s="4">
        <f t="shared" si="9"/>
        <v>0</v>
      </c>
      <c r="J189" s="21">
        <f>NT_I!I10</f>
        <v>2263694</v>
      </c>
      <c r="K189" s="21">
        <f>NT_I!J10</f>
        <v>2663798</v>
      </c>
    </row>
    <row r="190" spans="4:11" ht="12.75">
      <c r="D190" s="4" t="s">
        <v>1563</v>
      </c>
      <c r="E190" s="4">
        <v>4</v>
      </c>
      <c r="F190" s="4">
        <f>NT_I!G11</f>
        <v>3</v>
      </c>
      <c r="G190" s="4">
        <f>IF(NT_I!H11&lt;&gt;"",NT_I!H11,"")</f>
      </c>
      <c r="H190" s="20">
        <f t="shared" si="8"/>
        <v>1713360.3299999998</v>
      </c>
      <c r="I190" s="4">
        <f t="shared" si="9"/>
        <v>0</v>
      </c>
      <c r="J190" s="21">
        <f>NT_I!I11</f>
        <v>22833557</v>
      </c>
      <c r="K190" s="21">
        <f>NT_I!J11</f>
        <v>17139227</v>
      </c>
    </row>
    <row r="191" spans="4:11" ht="12.75">
      <c r="D191" s="4" t="s">
        <v>1563</v>
      </c>
      <c r="E191" s="4">
        <v>4</v>
      </c>
      <c r="F191" s="4">
        <f>NT_I!G12</f>
        <v>4</v>
      </c>
      <c r="G191" s="4" t="str">
        <f>IF(NT_I!H12&lt;&gt;"",NT_I!H12,"")</f>
        <v>68</v>
      </c>
      <c r="H191" s="20">
        <f aca="true" t="shared" si="12" ref="H191:H229">J191/100*F191+2*K191/100*F191</f>
        <v>411316.72</v>
      </c>
      <c r="I191" s="4">
        <f aca="true" t="shared" si="13" ref="I191:I229">ABS(ROUND(J191,0)-J191)+ABS(ROUND(K191,0)-K191)</f>
        <v>0</v>
      </c>
      <c r="J191" s="21">
        <f>NT_I!I12</f>
        <v>3342702</v>
      </c>
      <c r="K191" s="21">
        <f>NT_I!J12</f>
        <v>3470108</v>
      </c>
    </row>
    <row r="192" spans="4:11" ht="12.75">
      <c r="D192" s="4" t="s">
        <v>1563</v>
      </c>
      <c r="E192" s="4">
        <v>4</v>
      </c>
      <c r="F192" s="4">
        <f>NT_I!G13</f>
        <v>5</v>
      </c>
      <c r="G192" s="4" t="str">
        <f>IF(NT_I!H13&lt;&gt;"",NT_I!H13,"")</f>
        <v>69</v>
      </c>
      <c r="H192" s="20">
        <f t="shared" si="12"/>
        <v>-4610.299999999999</v>
      </c>
      <c r="I192" s="4">
        <f t="shared" si="13"/>
        <v>0</v>
      </c>
      <c r="J192" s="21">
        <f>NT_I!I13</f>
        <v>0</v>
      </c>
      <c r="K192" s="21">
        <f>NT_I!J13</f>
        <v>-46103</v>
      </c>
    </row>
    <row r="193" spans="4:11" ht="12.75">
      <c r="D193" s="4" t="s">
        <v>1563</v>
      </c>
      <c r="E193" s="4">
        <v>4</v>
      </c>
      <c r="F193" s="4">
        <f>NT_I!G14</f>
        <v>6</v>
      </c>
      <c r="G193" s="4">
        <f>IF(NT_I!H14&lt;&gt;"",NT_I!H14,"")</f>
      </c>
      <c r="H193" s="20">
        <f t="shared" si="12"/>
        <v>-255284.15999999997</v>
      </c>
      <c r="I193" s="4">
        <f t="shared" si="13"/>
        <v>0</v>
      </c>
      <c r="J193" s="21">
        <f>NT_I!I14</f>
        <v>-1069508</v>
      </c>
      <c r="K193" s="21">
        <f>NT_I!J14</f>
        <v>-1592614</v>
      </c>
    </row>
    <row r="194" spans="4:11" ht="12.75">
      <c r="D194" s="4" t="s">
        <v>1563</v>
      </c>
      <c r="E194" s="4">
        <v>4</v>
      </c>
      <c r="F194" s="4">
        <f>NT_I!G15</f>
        <v>7</v>
      </c>
      <c r="G194" s="4">
        <f>IF(NT_I!H15&lt;&gt;"",NT_I!H15,"")</f>
      </c>
      <c r="H194" s="20">
        <f t="shared" si="12"/>
        <v>-120849.54</v>
      </c>
      <c r="I194" s="4">
        <f t="shared" si="13"/>
        <v>0</v>
      </c>
      <c r="J194" s="21">
        <f>NT_I!I15</f>
        <v>-1306772</v>
      </c>
      <c r="K194" s="21">
        <f>NT_I!J15</f>
        <v>-209825</v>
      </c>
    </row>
    <row r="195" spans="4:11" ht="12.75">
      <c r="D195" s="4" t="s">
        <v>1563</v>
      </c>
      <c r="E195" s="4">
        <v>4</v>
      </c>
      <c r="F195" s="4">
        <f>NT_I!G16</f>
        <v>8</v>
      </c>
      <c r="G195" s="4" t="str">
        <f>IF(NT_I!H16&lt;&gt;"",NT_I!H16,"")</f>
        <v>70</v>
      </c>
      <c r="H195" s="20">
        <f t="shared" si="12"/>
        <v>17152557.04</v>
      </c>
      <c r="I195" s="4">
        <f t="shared" si="13"/>
        <v>0</v>
      </c>
      <c r="J195" s="21">
        <f>NT_I!I16</f>
        <v>-100375031</v>
      </c>
      <c r="K195" s="21">
        <f>NT_I!J16</f>
        <v>157390997</v>
      </c>
    </row>
    <row r="196" spans="4:11" ht="12.75">
      <c r="D196" s="4" t="s">
        <v>1563</v>
      </c>
      <c r="E196" s="4">
        <v>4</v>
      </c>
      <c r="F196" s="4">
        <f>NT_I!G17</f>
        <v>9</v>
      </c>
      <c r="G196" s="4">
        <f>IF(NT_I!H17&lt;&gt;"",NT_I!H17,"")</f>
      </c>
      <c r="H196" s="20">
        <f t="shared" si="12"/>
        <v>4651627.140000001</v>
      </c>
      <c r="I196" s="4">
        <f t="shared" si="13"/>
        <v>0</v>
      </c>
      <c r="J196" s="21">
        <f>NT_I!I17</f>
        <v>-17866608</v>
      </c>
      <c r="K196" s="21">
        <f>NT_I!J17</f>
        <v>34775677</v>
      </c>
    </row>
    <row r="197" spans="4:11" ht="12.75">
      <c r="D197" s="4" t="s">
        <v>1563</v>
      </c>
      <c r="E197" s="4">
        <v>4</v>
      </c>
      <c r="F197" s="4">
        <f>NT_I!G18</f>
        <v>10</v>
      </c>
      <c r="G197" s="4">
        <f>IF(NT_I!H18&lt;&gt;"",NT_I!H18,"")</f>
      </c>
      <c r="H197" s="20">
        <f t="shared" si="12"/>
        <v>516756.4000000004</v>
      </c>
      <c r="I197" s="4">
        <f t="shared" si="13"/>
        <v>0</v>
      </c>
      <c r="J197" s="21">
        <f>NT_I!I18</f>
        <v>-38921432</v>
      </c>
      <c r="K197" s="21">
        <f>NT_I!J18</f>
        <v>22044498</v>
      </c>
    </row>
    <row r="198" spans="4:11" ht="12.75">
      <c r="D198" s="4" t="s">
        <v>1563</v>
      </c>
      <c r="E198" s="4">
        <v>4</v>
      </c>
      <c r="F198" s="4">
        <f>NT_I!G19</f>
        <v>11</v>
      </c>
      <c r="G198" s="4">
        <f>IF(NT_I!H19&lt;&gt;"",NT_I!H19,"")</f>
      </c>
      <c r="H198" s="20">
        <f t="shared" si="12"/>
        <v>0</v>
      </c>
      <c r="I198" s="4">
        <f t="shared" si="13"/>
        <v>0</v>
      </c>
      <c r="J198" s="21">
        <f>NT_I!I19</f>
        <v>0</v>
      </c>
      <c r="K198" s="21">
        <f>NT_I!J19</f>
        <v>0</v>
      </c>
    </row>
    <row r="199" spans="4:11" ht="12.75">
      <c r="D199" s="4" t="s">
        <v>1563</v>
      </c>
      <c r="E199" s="4">
        <v>4</v>
      </c>
      <c r="F199" s="4">
        <f>NT_I!G20</f>
        <v>12</v>
      </c>
      <c r="G199" s="4">
        <f>IF(NT_I!H20&lt;&gt;"",NT_I!H20,"")</f>
      </c>
      <c r="H199" s="20">
        <f t="shared" si="12"/>
        <v>68422970.64</v>
      </c>
      <c r="I199" s="4">
        <f t="shared" si="13"/>
        <v>0</v>
      </c>
      <c r="J199" s="21">
        <f>NT_I!I20</f>
        <v>-5450664</v>
      </c>
      <c r="K199" s="21">
        <f>NT_I!J20</f>
        <v>287821043</v>
      </c>
    </row>
    <row r="200" spans="4:11" ht="12.75">
      <c r="D200" s="4" t="s">
        <v>1563</v>
      </c>
      <c r="E200" s="4">
        <v>4</v>
      </c>
      <c r="F200" s="4">
        <f>NT_I!G21</f>
        <v>13</v>
      </c>
      <c r="G200" s="4">
        <f>IF(NT_I!H21&lt;&gt;"",NT_I!H21,"")</f>
      </c>
      <c r="H200" s="20">
        <f t="shared" si="12"/>
        <v>-5873479.43</v>
      </c>
      <c r="I200" s="4">
        <f t="shared" si="13"/>
        <v>0</v>
      </c>
      <c r="J200" s="21">
        <f>NT_I!I21</f>
        <v>-45180611</v>
      </c>
      <c r="K200" s="21">
        <f>NT_I!J21</f>
        <v>0</v>
      </c>
    </row>
    <row r="201" spans="4:11" ht="12.75">
      <c r="D201" s="4" t="s">
        <v>1563</v>
      </c>
      <c r="E201" s="4">
        <v>4</v>
      </c>
      <c r="F201" s="4">
        <f>NT_I!G22</f>
        <v>14</v>
      </c>
      <c r="G201" s="4">
        <f>IF(NT_I!H22&lt;&gt;"",NT_I!H22,"")</f>
      </c>
      <c r="H201" s="20">
        <f t="shared" si="12"/>
        <v>-48810914.6</v>
      </c>
      <c r="I201" s="4">
        <f t="shared" si="13"/>
        <v>0</v>
      </c>
      <c r="J201" s="21">
        <f>NT_I!I22</f>
        <v>0</v>
      </c>
      <c r="K201" s="21">
        <f>NT_I!J22</f>
        <v>-174324695</v>
      </c>
    </row>
    <row r="202" spans="4:11" ht="12.75">
      <c r="D202" s="4" t="s">
        <v>1563</v>
      </c>
      <c r="E202" s="4">
        <v>4</v>
      </c>
      <c r="F202" s="4">
        <f>NT_I!G23</f>
        <v>15</v>
      </c>
      <c r="G202" s="4" t="str">
        <f>IF(NT_I!H23&lt;&gt;"",NT_I!H23,"")</f>
        <v>71</v>
      </c>
      <c r="H202" s="20">
        <f t="shared" si="12"/>
        <v>0</v>
      </c>
      <c r="I202" s="4">
        <f t="shared" si="13"/>
        <v>0</v>
      </c>
      <c r="J202" s="21">
        <f>NT_I!I23</f>
        <v>0</v>
      </c>
      <c r="K202" s="21">
        <f>NT_I!J23</f>
        <v>0</v>
      </c>
    </row>
    <row r="203" spans="4:11" ht="12.75">
      <c r="D203" s="4" t="s">
        <v>1563</v>
      </c>
      <c r="E203" s="4">
        <v>4</v>
      </c>
      <c r="F203" s="4">
        <f>NT_I!G24</f>
        <v>16</v>
      </c>
      <c r="G203" s="4">
        <f>IF(NT_I!H24&lt;&gt;"",NT_I!H24,"")</f>
      </c>
      <c r="H203" s="20">
        <f t="shared" si="12"/>
        <v>-3009082.88</v>
      </c>
      <c r="I203" s="4">
        <f t="shared" si="13"/>
        <v>0</v>
      </c>
      <c r="J203" s="21">
        <f>NT_I!I24</f>
        <v>7044284</v>
      </c>
      <c r="K203" s="21">
        <f>NT_I!J24</f>
        <v>-12925526</v>
      </c>
    </row>
    <row r="204" spans="4:11" ht="12.75">
      <c r="D204" s="4" t="s">
        <v>1563</v>
      </c>
      <c r="E204" s="4">
        <v>4</v>
      </c>
      <c r="F204" s="4">
        <f>NT_I!G26</f>
        <v>17</v>
      </c>
      <c r="G204" s="4" t="str">
        <f>IF(NT_I!H26&lt;&gt;"",NT_I!H26,"")</f>
        <v>72</v>
      </c>
      <c r="H204" s="20">
        <f t="shared" si="12"/>
        <v>2828347.29</v>
      </c>
      <c r="I204" s="4">
        <f t="shared" si="13"/>
        <v>0</v>
      </c>
      <c r="J204" s="21">
        <f>NT_I!I26</f>
        <v>3270793</v>
      </c>
      <c r="K204" s="21">
        <f>NT_I!J26</f>
        <v>6683272</v>
      </c>
    </row>
    <row r="205" spans="4:11" ht="12.75">
      <c r="D205" s="4" t="s">
        <v>1563</v>
      </c>
      <c r="E205" s="4">
        <v>4</v>
      </c>
      <c r="F205" s="4">
        <f>NT_I!G27</f>
        <v>18</v>
      </c>
      <c r="G205" s="4" t="str">
        <f>IF(NT_I!H27&lt;&gt;"",NT_I!H27,"")</f>
        <v>73</v>
      </c>
      <c r="H205" s="20">
        <f t="shared" si="12"/>
        <v>-22199647.86</v>
      </c>
      <c r="I205" s="4">
        <f t="shared" si="13"/>
        <v>0</v>
      </c>
      <c r="J205" s="21">
        <f>NT_I!I27</f>
        <v>-71333737</v>
      </c>
      <c r="K205" s="21">
        <f>NT_I!J27</f>
        <v>-25998820</v>
      </c>
    </row>
    <row r="206" spans="4:11" ht="12.75">
      <c r="D206" s="4" t="s">
        <v>1563</v>
      </c>
      <c r="E206" s="4">
        <v>4</v>
      </c>
      <c r="F206" s="4">
        <f>NT_I!G28</f>
        <v>19</v>
      </c>
      <c r="G206" s="4">
        <f>IF(NT_I!H28&lt;&gt;"",NT_I!H28,"")</f>
      </c>
      <c r="H206" s="20">
        <f t="shared" si="12"/>
        <v>19581521.6</v>
      </c>
      <c r="I206" s="4">
        <f t="shared" si="13"/>
        <v>0</v>
      </c>
      <c r="J206" s="21">
        <f>NT_I!I28</f>
        <v>93973334</v>
      </c>
      <c r="K206" s="21">
        <f>NT_I!J28</f>
        <v>4543653</v>
      </c>
    </row>
    <row r="207" spans="4:11" ht="12.75">
      <c r="D207" s="4" t="s">
        <v>1563</v>
      </c>
      <c r="E207" s="4">
        <v>4</v>
      </c>
      <c r="F207" s="4">
        <f>NT_I!G29</f>
        <v>20</v>
      </c>
      <c r="G207" s="4">
        <f>IF(NT_I!H29&lt;&gt;"",NT_I!H29,"")</f>
      </c>
      <c r="H207" s="20">
        <f t="shared" si="12"/>
        <v>0</v>
      </c>
      <c r="I207" s="4">
        <f t="shared" si="13"/>
        <v>0</v>
      </c>
      <c r="J207" s="21">
        <f>NT_I!I29</f>
        <v>0</v>
      </c>
      <c r="K207" s="21">
        <f>NT_I!J29</f>
        <v>0</v>
      </c>
    </row>
    <row r="208" spans="4:11" ht="12.75">
      <c r="D208" s="4" t="s">
        <v>1563</v>
      </c>
      <c r="E208" s="4">
        <v>4</v>
      </c>
      <c r="F208" s="4">
        <f>NT_I!G30</f>
        <v>21</v>
      </c>
      <c r="G208" s="4" t="str">
        <f>IF(NT_I!H30&lt;&gt;"",NT_I!H30,"")</f>
        <v>74</v>
      </c>
      <c r="H208" s="20">
        <f t="shared" si="12"/>
        <v>7750695.540000001</v>
      </c>
      <c r="I208" s="4">
        <f t="shared" si="13"/>
        <v>0</v>
      </c>
      <c r="J208" s="21">
        <f>NT_I!I30</f>
        <v>-19368804</v>
      </c>
      <c r="K208" s="21">
        <f>NT_I!J30</f>
        <v>28138439</v>
      </c>
    </row>
    <row r="209" spans="4:11" ht="12.75">
      <c r="D209" s="4" t="s">
        <v>1563</v>
      </c>
      <c r="E209" s="4">
        <v>4</v>
      </c>
      <c r="F209" s="4">
        <f>NT_I!G31</f>
        <v>22</v>
      </c>
      <c r="G209" s="4">
        <f>IF(NT_I!H31&lt;&gt;"",NT_I!H31,"")</f>
      </c>
      <c r="H209" s="20">
        <f t="shared" si="12"/>
        <v>65990574.10000001</v>
      </c>
      <c r="I209" s="4">
        <f t="shared" si="13"/>
        <v>0</v>
      </c>
      <c r="J209" s="21">
        <f>NT_I!I31</f>
        <v>-71040565</v>
      </c>
      <c r="K209" s="21">
        <f>NT_I!J31</f>
        <v>185498860</v>
      </c>
    </row>
    <row r="210" spans="4:11" ht="12.75">
      <c r="D210" s="4" t="s">
        <v>1563</v>
      </c>
      <c r="E210" s="4">
        <v>4</v>
      </c>
      <c r="F210" s="4">
        <f>NT_I!G32</f>
        <v>23</v>
      </c>
      <c r="G210" s="4">
        <f>IF(NT_I!H32&lt;&gt;"",NT_I!H32,"")</f>
      </c>
      <c r="H210" s="20">
        <f t="shared" si="12"/>
        <v>0</v>
      </c>
      <c r="I210" s="4">
        <f t="shared" si="13"/>
        <v>0</v>
      </c>
      <c r="J210" s="21">
        <f>NT_I!I32</f>
        <v>0</v>
      </c>
      <c r="K210" s="21">
        <f>NT_I!J32</f>
        <v>0</v>
      </c>
    </row>
    <row r="211" spans="4:11" ht="12.75">
      <c r="D211" s="4" t="s">
        <v>1563</v>
      </c>
      <c r="E211" s="4">
        <v>4</v>
      </c>
      <c r="F211" s="4">
        <f>NT_I!G33</f>
        <v>24</v>
      </c>
      <c r="G211" s="4" t="str">
        <f>IF(NT_I!H33&lt;&gt;"",NT_I!H33,"")</f>
        <v>75</v>
      </c>
      <c r="H211" s="20">
        <f t="shared" si="12"/>
        <v>71989717.20000002</v>
      </c>
      <c r="I211" s="4">
        <f t="shared" si="13"/>
        <v>0</v>
      </c>
      <c r="J211" s="21">
        <f>NT_I!I33</f>
        <v>-71040565</v>
      </c>
      <c r="K211" s="21">
        <f>NT_I!J33</f>
        <v>185498860</v>
      </c>
    </row>
    <row r="212" spans="4:11" ht="12.75">
      <c r="D212" s="4" t="s">
        <v>1563</v>
      </c>
      <c r="E212" s="4">
        <v>4</v>
      </c>
      <c r="F212" s="4">
        <f>NT_I!G35</f>
        <v>25</v>
      </c>
      <c r="G212" s="4">
        <f>IF(NT_I!H35&lt;&gt;"",NT_I!H35,"")</f>
      </c>
      <c r="H212" s="20">
        <f t="shared" si="12"/>
        <v>-167867.5</v>
      </c>
      <c r="I212" s="4">
        <f t="shared" si="13"/>
        <v>0</v>
      </c>
      <c r="J212" s="21">
        <f>NT_I!I35</f>
        <v>8032506</v>
      </c>
      <c r="K212" s="21">
        <f>NT_I!J35</f>
        <v>-4351988</v>
      </c>
    </row>
    <row r="213" spans="4:11" ht="12.75">
      <c r="D213" s="4" t="s">
        <v>1563</v>
      </c>
      <c r="E213" s="4">
        <v>4</v>
      </c>
      <c r="F213" s="4">
        <f>NT_I!G36</f>
        <v>26</v>
      </c>
      <c r="G213" s="4">
        <f>IF(NT_I!H36&lt;&gt;"",NT_I!H36,"")</f>
      </c>
      <c r="H213" s="20">
        <f t="shared" si="12"/>
        <v>2298706.02</v>
      </c>
      <c r="I213" s="4">
        <f t="shared" si="13"/>
        <v>0</v>
      </c>
      <c r="J213" s="21">
        <f>NT_I!I36</f>
        <v>3918615</v>
      </c>
      <c r="K213" s="21">
        <f>NT_I!J36</f>
        <v>2461281</v>
      </c>
    </row>
    <row r="214" spans="4:11" ht="12.75">
      <c r="D214" s="4" t="s">
        <v>1563</v>
      </c>
      <c r="E214" s="4">
        <v>4</v>
      </c>
      <c r="F214" s="4">
        <f>NT_I!G37</f>
        <v>27</v>
      </c>
      <c r="G214" s="4">
        <f>IF(NT_I!H37&lt;&gt;"",NT_I!H37,"")</f>
      </c>
      <c r="H214" s="20">
        <f t="shared" si="12"/>
        <v>0</v>
      </c>
      <c r="I214" s="4">
        <f t="shared" si="13"/>
        <v>0</v>
      </c>
      <c r="J214" s="21">
        <f>NT_I!I37</f>
        <v>0</v>
      </c>
      <c r="K214" s="21">
        <f>NT_I!J37</f>
        <v>0</v>
      </c>
    </row>
    <row r="215" spans="4:11" ht="12.75">
      <c r="D215" s="4" t="s">
        <v>1563</v>
      </c>
      <c r="E215" s="4">
        <v>4</v>
      </c>
      <c r="F215" s="4">
        <f>NT_I!G38</f>
        <v>28</v>
      </c>
      <c r="G215" s="4" t="str">
        <f>IF(NT_I!H38&lt;&gt;"",NT_I!H38,"")</f>
        <v>76</v>
      </c>
      <c r="H215" s="20">
        <f t="shared" si="12"/>
        <v>1988015.68</v>
      </c>
      <c r="I215" s="4">
        <f t="shared" si="13"/>
        <v>0</v>
      </c>
      <c r="J215" s="21">
        <f>NT_I!I38</f>
        <v>12592436</v>
      </c>
      <c r="K215" s="21">
        <f>NT_I!J38</f>
        <v>-2746190</v>
      </c>
    </row>
    <row r="216" spans="4:11" ht="12.75">
      <c r="D216" s="4" t="s">
        <v>1563</v>
      </c>
      <c r="E216" s="4">
        <v>4</v>
      </c>
      <c r="F216" s="4">
        <f>NT_I!G39</f>
        <v>29</v>
      </c>
      <c r="G216" s="4" t="str">
        <f>IF(NT_I!H39&lt;&gt;"",NT_I!H39,"")</f>
        <v>77</v>
      </c>
      <c r="H216" s="20">
        <f t="shared" si="12"/>
        <v>0</v>
      </c>
      <c r="I216" s="4">
        <f t="shared" si="13"/>
        <v>0</v>
      </c>
      <c r="J216" s="21">
        <f>NT_I!I39</f>
        <v>0</v>
      </c>
      <c r="K216" s="21">
        <f>NT_I!J39</f>
        <v>0</v>
      </c>
    </row>
    <row r="217" spans="4:11" ht="12.75">
      <c r="D217" s="4" t="s">
        <v>1563</v>
      </c>
      <c r="E217" s="4">
        <v>4</v>
      </c>
      <c r="F217" s="4">
        <f>NT_I!G40</f>
        <v>30</v>
      </c>
      <c r="G217" s="4" t="str">
        <f>IF(NT_I!H40&lt;&gt;"",NT_I!H40,"")</f>
        <v>78</v>
      </c>
      <c r="H217" s="20">
        <f t="shared" si="12"/>
        <v>-4983810.9</v>
      </c>
      <c r="I217" s="4">
        <f t="shared" si="13"/>
        <v>0</v>
      </c>
      <c r="J217" s="21">
        <f>NT_I!I40</f>
        <v>-8478545</v>
      </c>
      <c r="K217" s="21">
        <f>NT_I!J40</f>
        <v>-4067079</v>
      </c>
    </row>
    <row r="218" spans="4:11" ht="12.75">
      <c r="D218" s="4" t="s">
        <v>1563</v>
      </c>
      <c r="E218" s="4">
        <v>4</v>
      </c>
      <c r="F218" s="4">
        <f>NT_I!G42</f>
        <v>31</v>
      </c>
      <c r="G218" s="4">
        <f>IF(NT_I!H42&lt;&gt;"",NT_I!H42,"")</f>
      </c>
      <c r="H218" s="20">
        <f t="shared" si="12"/>
        <v>27238201.150000002</v>
      </c>
      <c r="I218" s="4">
        <f t="shared" si="13"/>
        <v>0</v>
      </c>
      <c r="J218" s="21">
        <f>NT_I!I42</f>
        <v>89310931</v>
      </c>
      <c r="K218" s="21">
        <f>NT_I!J42</f>
        <v>-722883</v>
      </c>
    </row>
    <row r="219" spans="4:11" ht="12.75">
      <c r="D219" s="4" t="s">
        <v>1563</v>
      </c>
      <c r="E219" s="4">
        <v>4</v>
      </c>
      <c r="F219" s="4">
        <f>NT_I!G43</f>
        <v>32</v>
      </c>
      <c r="G219" s="4">
        <f>IF(NT_I!H43&lt;&gt;"",NT_I!H43,"")</f>
      </c>
      <c r="H219" s="20">
        <f t="shared" si="12"/>
        <v>28116852.8</v>
      </c>
      <c r="I219" s="4">
        <f t="shared" si="13"/>
        <v>0</v>
      </c>
      <c r="J219" s="21">
        <f>NT_I!I43</f>
        <v>89310931</v>
      </c>
      <c r="K219" s="21">
        <f>NT_I!J43</f>
        <v>-722883</v>
      </c>
    </row>
    <row r="220" spans="4:11" ht="12.75">
      <c r="D220" s="4" t="s">
        <v>1563</v>
      </c>
      <c r="E220" s="4">
        <v>4</v>
      </c>
      <c r="F220" s="4">
        <f>NT_I!G44</f>
        <v>33</v>
      </c>
      <c r="G220" s="4" t="str">
        <f>IF(NT_I!H44&lt;&gt;"",NT_I!H44,"")</f>
        <v>79</v>
      </c>
      <c r="H220" s="20">
        <f t="shared" si="12"/>
        <v>0</v>
      </c>
      <c r="I220" s="4">
        <f t="shared" si="13"/>
        <v>0</v>
      </c>
      <c r="J220" s="21">
        <f>NT_I!I44</f>
        <v>0</v>
      </c>
      <c r="K220" s="21">
        <f>NT_I!J44</f>
        <v>0</v>
      </c>
    </row>
    <row r="221" spans="4:11" ht="12.75">
      <c r="D221" s="4" t="s">
        <v>1563</v>
      </c>
      <c r="E221" s="4">
        <v>4</v>
      </c>
      <c r="F221" s="4">
        <f>NT_I!G45</f>
        <v>34</v>
      </c>
      <c r="G221" s="4">
        <f>IF(NT_I!H45&lt;&gt;"",NT_I!H45,"")</f>
      </c>
      <c r="H221" s="20">
        <f t="shared" si="12"/>
        <v>0</v>
      </c>
      <c r="I221" s="4">
        <f t="shared" si="13"/>
        <v>0</v>
      </c>
      <c r="J221" s="21">
        <f>NT_I!I45</f>
        <v>0</v>
      </c>
      <c r="K221" s="21">
        <f>NT_I!J45</f>
        <v>0</v>
      </c>
    </row>
    <row r="222" spans="4:11" ht="12.75">
      <c r="D222" s="4" t="s">
        <v>1563</v>
      </c>
      <c r="E222" s="4">
        <v>4</v>
      </c>
      <c r="F222" s="4">
        <f>NT_I!G46</f>
        <v>35</v>
      </c>
      <c r="G222" s="4">
        <f>IF(NT_I!H46&lt;&gt;"",NT_I!H46,"")</f>
      </c>
      <c r="H222" s="20">
        <f t="shared" si="12"/>
        <v>0</v>
      </c>
      <c r="I222" s="4">
        <f t="shared" si="13"/>
        <v>0</v>
      </c>
      <c r="J222" s="21">
        <f>NT_I!I46</f>
        <v>0</v>
      </c>
      <c r="K222" s="21">
        <f>NT_I!J46</f>
        <v>0</v>
      </c>
    </row>
    <row r="223" spans="4:11" ht="12.75">
      <c r="D223" s="4" t="s">
        <v>1563</v>
      </c>
      <c r="E223" s="4">
        <v>4</v>
      </c>
      <c r="F223" s="4">
        <f>NT_I!G47</f>
        <v>36</v>
      </c>
      <c r="G223" s="4">
        <f>IF(NT_I!H47&lt;&gt;"",NT_I!H47,"")</f>
      </c>
      <c r="H223" s="20">
        <f t="shared" si="12"/>
        <v>0</v>
      </c>
      <c r="I223" s="4">
        <f t="shared" si="13"/>
        <v>0</v>
      </c>
      <c r="J223" s="21">
        <f>NT_I!I47</f>
        <v>0</v>
      </c>
      <c r="K223" s="21">
        <f>NT_I!J47</f>
        <v>0</v>
      </c>
    </row>
    <row r="224" spans="4:11" ht="12.75">
      <c r="D224" s="4" t="s">
        <v>1563</v>
      </c>
      <c r="E224" s="4">
        <v>4</v>
      </c>
      <c r="F224" s="4">
        <f>NT_I!G48</f>
        <v>37</v>
      </c>
      <c r="G224" s="4">
        <f>IF(NT_I!H48&lt;&gt;"",NT_I!H48,"")</f>
      </c>
      <c r="H224" s="20">
        <f t="shared" si="12"/>
        <v>0</v>
      </c>
      <c r="I224" s="4">
        <f t="shared" si="13"/>
        <v>0</v>
      </c>
      <c r="J224" s="21">
        <f>NT_I!I48</f>
        <v>0</v>
      </c>
      <c r="K224" s="21">
        <f>NT_I!J48</f>
        <v>0</v>
      </c>
    </row>
    <row r="225" spans="4:11" ht="12.75">
      <c r="D225" s="4" t="s">
        <v>1563</v>
      </c>
      <c r="E225" s="4">
        <v>4</v>
      </c>
      <c r="F225" s="4">
        <f>NT_I!G49</f>
        <v>38</v>
      </c>
      <c r="G225" s="4">
        <f>IF(NT_I!H49&lt;&gt;"",NT_I!H49,"")</f>
      </c>
      <c r="H225" s="20">
        <f t="shared" si="12"/>
        <v>147117323</v>
      </c>
      <c r="I225" s="4">
        <f t="shared" si="13"/>
        <v>0</v>
      </c>
      <c r="J225" s="21">
        <f>NT_I!I49</f>
        <v>26302872</v>
      </c>
      <c r="K225" s="21">
        <f>NT_I!J49</f>
        <v>180423989</v>
      </c>
    </row>
    <row r="226" spans="4:11" ht="12.75">
      <c r="D226" s="4" t="s">
        <v>1563</v>
      </c>
      <c r="E226" s="4">
        <v>4</v>
      </c>
      <c r="F226" s="4">
        <f>NT_I!G50</f>
        <v>39</v>
      </c>
      <c r="G226" s="4" t="str">
        <f>IF(NT_I!H50&lt;&gt;"",NT_I!H50,"")</f>
        <v>80</v>
      </c>
      <c r="H226" s="20">
        <f t="shared" si="12"/>
        <v>0</v>
      </c>
      <c r="I226" s="4">
        <f t="shared" si="13"/>
        <v>0</v>
      </c>
      <c r="J226" s="21">
        <f>NT_I!I50</f>
        <v>0</v>
      </c>
      <c r="K226" s="21">
        <f>NT_I!J50</f>
        <v>0</v>
      </c>
    </row>
    <row r="227" spans="4:11" ht="12.75">
      <c r="D227" s="4" t="s">
        <v>1563</v>
      </c>
      <c r="E227" s="4">
        <v>4</v>
      </c>
      <c r="F227" s="4">
        <f>NT_I!G51</f>
        <v>40</v>
      </c>
      <c r="G227" s="4">
        <f>IF(NT_I!H51&lt;&gt;"",NT_I!H51,"")</f>
      </c>
      <c r="H227" s="20">
        <f t="shared" si="12"/>
        <v>154860340</v>
      </c>
      <c r="I227" s="4">
        <f t="shared" si="13"/>
        <v>0</v>
      </c>
      <c r="J227" s="21">
        <f>NT_I!I51</f>
        <v>26302872</v>
      </c>
      <c r="K227" s="21">
        <f>NT_I!J51</f>
        <v>180423989</v>
      </c>
    </row>
    <row r="228" spans="4:11" ht="12.75">
      <c r="D228" s="4" t="s">
        <v>1563</v>
      </c>
      <c r="E228" s="4">
        <v>4</v>
      </c>
      <c r="F228" s="4">
        <f>NT_I!G52</f>
        <v>41</v>
      </c>
      <c r="G228" s="4">
        <f>IF(NT_I!H52&lt;&gt;"",NT_I!H52,"")</f>
      </c>
      <c r="H228" s="20">
        <f t="shared" si="12"/>
        <v>177201558.84</v>
      </c>
      <c r="I228" s="4">
        <f t="shared" si="13"/>
        <v>0</v>
      </c>
      <c r="J228" s="21">
        <f>NT_I!I52</f>
        <v>126531060</v>
      </c>
      <c r="K228" s="21">
        <f>NT_I!J52</f>
        <v>152833932</v>
      </c>
    </row>
    <row r="229" spans="4:11" ht="12.75">
      <c r="D229" s="4" t="s">
        <v>1563</v>
      </c>
      <c r="E229" s="4">
        <v>4</v>
      </c>
      <c r="F229" s="4">
        <f>NT_I!G53</f>
        <v>42</v>
      </c>
      <c r="G229" s="4" t="str">
        <f>IF(NT_I!H53&lt;&gt;"",NT_I!H53,"")</f>
        <v>81</v>
      </c>
      <c r="H229" s="20">
        <f t="shared" si="12"/>
        <v>344126905.08</v>
      </c>
      <c r="I229" s="4">
        <f t="shared" si="13"/>
        <v>0</v>
      </c>
      <c r="J229" s="21">
        <f>NT_I!I53</f>
        <v>152833932</v>
      </c>
      <c r="K229" s="21">
        <f>NT_I!J53</f>
        <v>333257921</v>
      </c>
    </row>
    <row r="230" spans="4:11" ht="12.75">
      <c r="D230" s="4" t="s">
        <v>1564</v>
      </c>
      <c r="E230" s="4">
        <v>5</v>
      </c>
      <c r="F230" s="22">
        <f>NT_D!G9</f>
        <v>1</v>
      </c>
      <c r="G230" s="22">
        <f>IF(NT_D!H9&lt;&gt;"",NT_D!H9,"")</f>
      </c>
      <c r="H230" s="20">
        <f>J230/100*F230+2*K230/100*F230</f>
        <v>0</v>
      </c>
      <c r="I230" s="4">
        <f>ABS(ROUND(J230,0)-J230)+ABS(ROUND(K230,0)-K230)</f>
        <v>0</v>
      </c>
      <c r="J230" s="21">
        <f>NT_D!I9</f>
        <v>0</v>
      </c>
      <c r="K230" s="21">
        <f>NT_D!J9</f>
        <v>0</v>
      </c>
    </row>
    <row r="231" spans="4:11" ht="12.75">
      <c r="D231" s="4" t="s">
        <v>1564</v>
      </c>
      <c r="E231" s="4">
        <v>5</v>
      </c>
      <c r="F231" s="22">
        <f>NT_D!G10</f>
        <v>2</v>
      </c>
      <c r="G231" s="22">
        <f>IF(NT_D!H10&lt;&gt;"",NT_D!H10,"")</f>
      </c>
      <c r="H231" s="20">
        <f>J231/100*F231+2*K231/100*F231</f>
        <v>0</v>
      </c>
      <c r="I231" s="4">
        <f>ABS(ROUND(J231,0)-J231)+ABS(ROUND(K231,0)-K231)</f>
        <v>0</v>
      </c>
      <c r="J231" s="21">
        <f>NT_D!I10</f>
        <v>0</v>
      </c>
      <c r="K231" s="21">
        <f>NT_D!J10</f>
        <v>0</v>
      </c>
    </row>
    <row r="232" spans="4:11" ht="12.75">
      <c r="D232" s="4" t="s">
        <v>1564</v>
      </c>
      <c r="E232" s="4">
        <v>5</v>
      </c>
      <c r="F232" s="22">
        <f>NT_D!G11</f>
        <v>3</v>
      </c>
      <c r="G232" s="22">
        <f>IF(NT_D!H11&lt;&gt;"",NT_D!H11,"")</f>
      </c>
      <c r="H232" s="20">
        <f aca="true" t="shared" si="14" ref="H232:H269">J232/100*F232+2*K232/100*F232</f>
        <v>0</v>
      </c>
      <c r="I232" s="4">
        <f aca="true" t="shared" si="15" ref="I232:I269">ABS(ROUND(J232,0)-J232)+ABS(ROUND(K232,0)-K232)</f>
        <v>0</v>
      </c>
      <c r="J232" s="21">
        <f>NT_D!I11</f>
        <v>0</v>
      </c>
      <c r="K232" s="21">
        <f>NT_D!J11</f>
        <v>0</v>
      </c>
    </row>
    <row r="233" spans="4:11" ht="12.75">
      <c r="D233" s="4" t="s">
        <v>1564</v>
      </c>
      <c r="E233" s="4">
        <v>5</v>
      </c>
      <c r="F233" s="22">
        <f>NT_D!G12</f>
        <v>4</v>
      </c>
      <c r="G233" s="22">
        <f>IF(NT_D!H12&lt;&gt;"",NT_D!H12,"")</f>
      </c>
      <c r="H233" s="20">
        <f t="shared" si="14"/>
        <v>0</v>
      </c>
      <c r="I233" s="4">
        <f t="shared" si="15"/>
        <v>0</v>
      </c>
      <c r="J233" s="21">
        <f>NT_D!I12</f>
        <v>0</v>
      </c>
      <c r="K233" s="21">
        <f>NT_D!J12</f>
        <v>0</v>
      </c>
    </row>
    <row r="234" spans="4:11" ht="12.75">
      <c r="D234" s="4" t="s">
        <v>1564</v>
      </c>
      <c r="E234" s="4">
        <v>5</v>
      </c>
      <c r="F234" s="22">
        <f>NT_D!G13</f>
        <v>5</v>
      </c>
      <c r="G234" s="22">
        <f>IF(NT_D!H13&lt;&gt;"",NT_D!H13,"")</f>
      </c>
      <c r="H234" s="20">
        <f t="shared" si="14"/>
        <v>0</v>
      </c>
      <c r="I234" s="4">
        <f t="shared" si="15"/>
        <v>0</v>
      </c>
      <c r="J234" s="21">
        <f>NT_D!I13</f>
        <v>0</v>
      </c>
      <c r="K234" s="21">
        <f>NT_D!J13</f>
        <v>0</v>
      </c>
    </row>
    <row r="235" spans="4:11" ht="12.75">
      <c r="D235" s="4" t="s">
        <v>1564</v>
      </c>
      <c r="E235" s="4">
        <v>5</v>
      </c>
      <c r="F235" s="22">
        <f>NT_D!G14</f>
        <v>6</v>
      </c>
      <c r="G235" s="22">
        <f>IF(NT_D!H14&lt;&gt;"",NT_D!H14,"")</f>
      </c>
      <c r="H235" s="20">
        <f t="shared" si="14"/>
        <v>0</v>
      </c>
      <c r="I235" s="4">
        <f t="shared" si="15"/>
        <v>0</v>
      </c>
      <c r="J235" s="21">
        <f>NT_D!I14</f>
        <v>0</v>
      </c>
      <c r="K235" s="21">
        <f>NT_D!J14</f>
        <v>0</v>
      </c>
    </row>
    <row r="236" spans="4:11" ht="12.75">
      <c r="D236" s="4" t="s">
        <v>1564</v>
      </c>
      <c r="E236" s="4">
        <v>5</v>
      </c>
      <c r="F236" s="22">
        <f>NT_D!G15</f>
        <v>7</v>
      </c>
      <c r="G236" s="22">
        <f>IF(NT_D!H15&lt;&gt;"",NT_D!H15,"")</f>
      </c>
      <c r="H236" s="20">
        <f t="shared" si="14"/>
        <v>0</v>
      </c>
      <c r="I236" s="4">
        <f t="shared" si="15"/>
        <v>0</v>
      </c>
      <c r="J236" s="21">
        <f>NT_D!I15</f>
        <v>0</v>
      </c>
      <c r="K236" s="21">
        <f>NT_D!J15</f>
        <v>0</v>
      </c>
    </row>
    <row r="237" spans="4:11" ht="12.75">
      <c r="D237" s="4" t="s">
        <v>1564</v>
      </c>
      <c r="E237" s="4">
        <v>5</v>
      </c>
      <c r="F237" s="22">
        <f>NT_D!G16</f>
        <v>8</v>
      </c>
      <c r="G237" s="22">
        <f>IF(NT_D!H16&lt;&gt;"",NT_D!H16,"")</f>
      </c>
      <c r="H237" s="20">
        <f t="shared" si="14"/>
        <v>0</v>
      </c>
      <c r="I237" s="4">
        <f t="shared" si="15"/>
        <v>0</v>
      </c>
      <c r="J237" s="21">
        <f>NT_D!I16</f>
        <v>0</v>
      </c>
      <c r="K237" s="21">
        <f>NT_D!J16</f>
        <v>0</v>
      </c>
    </row>
    <row r="238" spans="4:11" ht="12.75">
      <c r="D238" s="4" t="s">
        <v>1564</v>
      </c>
      <c r="E238" s="4">
        <v>5</v>
      </c>
      <c r="F238" s="22">
        <f>NT_D!G17</f>
        <v>9</v>
      </c>
      <c r="G238" s="22">
        <f>IF(NT_D!H17&lt;&gt;"",NT_D!H17,"")</f>
      </c>
      <c r="H238" s="20">
        <f t="shared" si="14"/>
        <v>0</v>
      </c>
      <c r="I238" s="4">
        <f t="shared" si="15"/>
        <v>0</v>
      </c>
      <c r="J238" s="21">
        <f>NT_D!I17</f>
        <v>0</v>
      </c>
      <c r="K238" s="21">
        <f>NT_D!J17</f>
        <v>0</v>
      </c>
    </row>
    <row r="239" spans="4:11" ht="12.75">
      <c r="D239" s="4" t="s">
        <v>1564</v>
      </c>
      <c r="E239" s="4">
        <v>5</v>
      </c>
      <c r="F239" s="22">
        <f>NT_D!G19</f>
        <v>10</v>
      </c>
      <c r="G239" s="22">
        <f>IF(NT_D!H19&lt;&gt;"",NT_D!H19,"")</f>
      </c>
      <c r="H239" s="20">
        <f t="shared" si="14"/>
        <v>0</v>
      </c>
      <c r="I239" s="4">
        <f t="shared" si="15"/>
        <v>0</v>
      </c>
      <c r="J239" s="21">
        <f>NT_D!I19</f>
        <v>0</v>
      </c>
      <c r="K239" s="21">
        <f>NT_D!J19</f>
        <v>0</v>
      </c>
    </row>
    <row r="240" spans="4:11" ht="12.75">
      <c r="D240" s="4" t="s">
        <v>1564</v>
      </c>
      <c r="E240" s="4">
        <v>5</v>
      </c>
      <c r="F240" s="22">
        <f>NT_D!G20</f>
        <v>11</v>
      </c>
      <c r="G240" s="22">
        <f>IF(NT_D!H20&lt;&gt;"",NT_D!H20,"")</f>
      </c>
      <c r="H240" s="20">
        <f t="shared" si="14"/>
        <v>0</v>
      </c>
      <c r="I240" s="4">
        <f t="shared" si="15"/>
        <v>0</v>
      </c>
      <c r="J240" s="21">
        <f>NT_D!I20</f>
        <v>0</v>
      </c>
      <c r="K240" s="21">
        <f>NT_D!J20</f>
        <v>0</v>
      </c>
    </row>
    <row r="241" spans="4:11" ht="12.75">
      <c r="D241" s="4" t="s">
        <v>1564</v>
      </c>
      <c r="E241" s="4">
        <v>5</v>
      </c>
      <c r="F241" s="22">
        <f>NT_D!G21</f>
        <v>12</v>
      </c>
      <c r="G241" s="22">
        <f>IF(NT_D!H21&lt;&gt;"",NT_D!H21,"")</f>
      </c>
      <c r="H241" s="20">
        <f t="shared" si="14"/>
        <v>0</v>
      </c>
      <c r="I241" s="4">
        <f t="shared" si="15"/>
        <v>0</v>
      </c>
      <c r="J241" s="21">
        <f>NT_D!I21</f>
        <v>0</v>
      </c>
      <c r="K241" s="21">
        <f>NT_D!J21</f>
        <v>0</v>
      </c>
    </row>
    <row r="242" spans="4:11" ht="12.75">
      <c r="D242" s="4" t="s">
        <v>1564</v>
      </c>
      <c r="E242" s="4">
        <v>5</v>
      </c>
      <c r="F242" s="22">
        <f>NT_D!G22</f>
        <v>13</v>
      </c>
      <c r="G242" s="22">
        <f>IF(NT_D!H22&lt;&gt;"",NT_D!H22,"")</f>
      </c>
      <c r="H242" s="20">
        <f t="shared" si="14"/>
        <v>0</v>
      </c>
      <c r="I242" s="4">
        <f t="shared" si="15"/>
        <v>0</v>
      </c>
      <c r="J242" s="21">
        <f>NT_D!I22</f>
        <v>0</v>
      </c>
      <c r="K242" s="21">
        <f>NT_D!J22</f>
        <v>0</v>
      </c>
    </row>
    <row r="243" spans="4:11" ht="12.75">
      <c r="D243" s="4" t="s">
        <v>1564</v>
      </c>
      <c r="E243" s="4">
        <v>5</v>
      </c>
      <c r="F243" s="22">
        <f>NT_D!G23</f>
        <v>14</v>
      </c>
      <c r="G243" s="22">
        <f>IF(NT_D!H23&lt;&gt;"",NT_D!H23,"")</f>
      </c>
      <c r="H243" s="20">
        <f t="shared" si="14"/>
        <v>0</v>
      </c>
      <c r="I243" s="4">
        <f t="shared" si="15"/>
        <v>0</v>
      </c>
      <c r="J243" s="21">
        <f>NT_D!I23</f>
        <v>0</v>
      </c>
      <c r="K243" s="21">
        <f>NT_D!J23</f>
        <v>0</v>
      </c>
    </row>
    <row r="244" spans="4:11" ht="12.75">
      <c r="D244" s="4" t="s">
        <v>1564</v>
      </c>
      <c r="E244" s="4">
        <v>5</v>
      </c>
      <c r="F244" s="22">
        <f>NT_D!G24</f>
        <v>15</v>
      </c>
      <c r="G244" s="22">
        <f>IF(NT_D!H24&lt;&gt;"",NT_D!H24,"")</f>
      </c>
      <c r="H244" s="20">
        <f t="shared" si="14"/>
        <v>0</v>
      </c>
      <c r="I244" s="4">
        <f t="shared" si="15"/>
        <v>0</v>
      </c>
      <c r="J244" s="21">
        <f>NT_D!I24</f>
        <v>0</v>
      </c>
      <c r="K244" s="21">
        <f>NT_D!J24</f>
        <v>0</v>
      </c>
    </row>
    <row r="245" spans="4:11" ht="12.75">
      <c r="D245" s="4" t="s">
        <v>1564</v>
      </c>
      <c r="E245" s="4">
        <v>5</v>
      </c>
      <c r="F245" s="22">
        <f>NT_D!G25</f>
        <v>16</v>
      </c>
      <c r="G245" s="22">
        <f>IF(NT_D!H25&lt;&gt;"",NT_D!H25,"")</f>
      </c>
      <c r="H245" s="20">
        <f t="shared" si="14"/>
        <v>0</v>
      </c>
      <c r="I245" s="4">
        <f t="shared" si="15"/>
        <v>0</v>
      </c>
      <c r="J245" s="21">
        <f>NT_D!I25</f>
        <v>0</v>
      </c>
      <c r="K245" s="21">
        <f>NT_D!J25</f>
        <v>0</v>
      </c>
    </row>
    <row r="246" spans="4:11" ht="12.75">
      <c r="D246" s="4" t="s">
        <v>1564</v>
      </c>
      <c r="E246" s="4">
        <v>5</v>
      </c>
      <c r="F246" s="22">
        <f>NT_D!G26</f>
        <v>17</v>
      </c>
      <c r="G246" s="22">
        <f>IF(NT_D!H26&lt;&gt;"",NT_D!H26,"")</f>
      </c>
      <c r="H246" s="20">
        <f t="shared" si="14"/>
        <v>0</v>
      </c>
      <c r="I246" s="4">
        <f t="shared" si="15"/>
        <v>0</v>
      </c>
      <c r="J246" s="21">
        <f>NT_D!I26</f>
        <v>0</v>
      </c>
      <c r="K246" s="21">
        <f>NT_D!J26</f>
        <v>0</v>
      </c>
    </row>
    <row r="247" spans="4:11" ht="12.75">
      <c r="D247" s="4" t="s">
        <v>1564</v>
      </c>
      <c r="E247" s="4">
        <v>5</v>
      </c>
      <c r="F247" s="22">
        <f>NT_D!G27</f>
        <v>18</v>
      </c>
      <c r="G247" s="22">
        <f>IF(NT_D!H27&lt;&gt;"",NT_D!H27,"")</f>
      </c>
      <c r="H247" s="20">
        <f t="shared" si="14"/>
        <v>0</v>
      </c>
      <c r="I247" s="4">
        <f t="shared" si="15"/>
        <v>0</v>
      </c>
      <c r="J247" s="21">
        <f>NT_D!I27</f>
        <v>0</v>
      </c>
      <c r="K247" s="21">
        <f>NT_D!J27</f>
        <v>0</v>
      </c>
    </row>
    <row r="248" spans="4:11" ht="12.75">
      <c r="D248" s="4" t="s">
        <v>1564</v>
      </c>
      <c r="E248" s="4">
        <v>5</v>
      </c>
      <c r="F248" s="22">
        <f>NT_D!G29</f>
        <v>19</v>
      </c>
      <c r="G248" s="22">
        <f>IF(NT_D!H29&lt;&gt;"",NT_D!H29,"")</f>
      </c>
      <c r="H248" s="20">
        <f t="shared" si="14"/>
        <v>0</v>
      </c>
      <c r="I248" s="4">
        <f t="shared" si="15"/>
        <v>0</v>
      </c>
      <c r="J248" s="21">
        <f>NT_D!I29</f>
        <v>0</v>
      </c>
      <c r="K248" s="21">
        <f>NT_D!J29</f>
        <v>0</v>
      </c>
    </row>
    <row r="249" spans="4:11" ht="12.75">
      <c r="D249" s="4" t="s">
        <v>1564</v>
      </c>
      <c r="E249" s="4">
        <v>5</v>
      </c>
      <c r="F249" s="22">
        <f>NT_D!G30</f>
        <v>20</v>
      </c>
      <c r="G249" s="22">
        <f>IF(NT_D!H30&lt;&gt;"",NT_D!H30,"")</f>
      </c>
      <c r="H249" s="20">
        <f t="shared" si="14"/>
        <v>0</v>
      </c>
      <c r="I249" s="4">
        <f t="shared" si="15"/>
        <v>0</v>
      </c>
      <c r="J249" s="21">
        <f>NT_D!I30</f>
        <v>0</v>
      </c>
      <c r="K249" s="21">
        <f>NT_D!J30</f>
        <v>0</v>
      </c>
    </row>
    <row r="250" spans="4:11" ht="12.75">
      <c r="D250" s="4" t="s">
        <v>1564</v>
      </c>
      <c r="E250" s="4">
        <v>5</v>
      </c>
      <c r="F250" s="22">
        <f>NT_D!G31</f>
        <v>21</v>
      </c>
      <c r="G250" s="22">
        <f>IF(NT_D!H31&lt;&gt;"",NT_D!H31,"")</f>
      </c>
      <c r="H250" s="20">
        <f t="shared" si="14"/>
        <v>0</v>
      </c>
      <c r="I250" s="4">
        <f t="shared" si="15"/>
        <v>0</v>
      </c>
      <c r="J250" s="21">
        <f>NT_D!I31</f>
        <v>0</v>
      </c>
      <c r="K250" s="21">
        <f>NT_D!J31</f>
        <v>0</v>
      </c>
    </row>
    <row r="251" spans="4:11" ht="12.75">
      <c r="D251" s="4" t="s">
        <v>1564</v>
      </c>
      <c r="E251" s="4">
        <v>5</v>
      </c>
      <c r="F251" s="22">
        <f>NT_D!G32</f>
        <v>22</v>
      </c>
      <c r="G251" s="22">
        <f>IF(NT_D!H32&lt;&gt;"",NT_D!H32,"")</f>
      </c>
      <c r="H251" s="20">
        <f t="shared" si="14"/>
        <v>0</v>
      </c>
      <c r="I251" s="4">
        <f t="shared" si="15"/>
        <v>0</v>
      </c>
      <c r="J251" s="21">
        <f>NT_D!I32</f>
        <v>0</v>
      </c>
      <c r="K251" s="21">
        <f>NT_D!J32</f>
        <v>0</v>
      </c>
    </row>
    <row r="252" spans="4:11" ht="12.75">
      <c r="D252" s="4" t="s">
        <v>1564</v>
      </c>
      <c r="E252" s="4">
        <v>5</v>
      </c>
      <c r="F252" s="22">
        <f>NT_D!G33</f>
        <v>23</v>
      </c>
      <c r="G252" s="22">
        <f>IF(NT_D!H33&lt;&gt;"",NT_D!H33,"")</f>
      </c>
      <c r="H252" s="20">
        <f t="shared" si="14"/>
        <v>0</v>
      </c>
      <c r="I252" s="4">
        <f t="shared" si="15"/>
        <v>0</v>
      </c>
      <c r="J252" s="21">
        <f>NT_D!I33</f>
        <v>0</v>
      </c>
      <c r="K252" s="21">
        <f>NT_D!J33</f>
        <v>0</v>
      </c>
    </row>
    <row r="253" spans="4:11" ht="12.75">
      <c r="D253" s="4" t="s">
        <v>1564</v>
      </c>
      <c r="E253" s="4">
        <v>5</v>
      </c>
      <c r="F253" s="22">
        <f>NT_D!G34</f>
        <v>24</v>
      </c>
      <c r="G253" s="22">
        <f>IF(NT_D!H34&lt;&gt;"",NT_D!H34,"")</f>
      </c>
      <c r="H253" s="20">
        <f t="shared" si="14"/>
        <v>0</v>
      </c>
      <c r="I253" s="4">
        <f t="shared" si="15"/>
        <v>0</v>
      </c>
      <c r="J253" s="21">
        <f>NT_D!I34</f>
        <v>0</v>
      </c>
      <c r="K253" s="21">
        <f>NT_D!J34</f>
        <v>0</v>
      </c>
    </row>
    <row r="254" spans="4:11" ht="12.75">
      <c r="D254" s="4" t="s">
        <v>1564</v>
      </c>
      <c r="E254" s="4">
        <v>5</v>
      </c>
      <c r="F254" s="22">
        <f>NT_D!G35</f>
        <v>25</v>
      </c>
      <c r="G254" s="22">
        <f>IF(NT_D!H35&lt;&gt;"",NT_D!H35,"")</f>
      </c>
      <c r="H254" s="20">
        <f t="shared" si="14"/>
        <v>0</v>
      </c>
      <c r="I254" s="4">
        <f t="shared" si="15"/>
        <v>0</v>
      </c>
      <c r="J254" s="21">
        <f>NT_D!I35</f>
        <v>0</v>
      </c>
      <c r="K254" s="21">
        <f>NT_D!J35</f>
        <v>0</v>
      </c>
    </row>
    <row r="255" spans="4:11" ht="12.75">
      <c r="D255" s="4" t="s">
        <v>1564</v>
      </c>
      <c r="E255" s="4">
        <v>5</v>
      </c>
      <c r="F255" s="22">
        <f>NT_D!G36</f>
        <v>26</v>
      </c>
      <c r="G255" s="22">
        <f>IF(NT_D!H36&lt;&gt;"",NT_D!H36,"")</f>
      </c>
      <c r="H255" s="20">
        <f t="shared" si="14"/>
        <v>0</v>
      </c>
      <c r="I255" s="4">
        <f t="shared" si="15"/>
        <v>0</v>
      </c>
      <c r="J255" s="21">
        <f>NT_D!I36</f>
        <v>0</v>
      </c>
      <c r="K255" s="21">
        <f>NT_D!J36</f>
        <v>0</v>
      </c>
    </row>
    <row r="256" spans="4:11" ht="12.75">
      <c r="D256" s="4" t="s">
        <v>1564</v>
      </c>
      <c r="E256" s="4">
        <v>5</v>
      </c>
      <c r="F256" s="22">
        <f>NT_D!G38</f>
        <v>27</v>
      </c>
      <c r="G256" s="22">
        <f>IF(NT_D!H38&lt;&gt;"",NT_D!H38,"")</f>
      </c>
      <c r="H256" s="20">
        <f t="shared" si="14"/>
        <v>0</v>
      </c>
      <c r="I256" s="4">
        <f t="shared" si="15"/>
        <v>0</v>
      </c>
      <c r="J256" s="21">
        <f>NT_D!I38</f>
        <v>0</v>
      </c>
      <c r="K256" s="21">
        <f>NT_D!J38</f>
        <v>0</v>
      </c>
    </row>
    <row r="257" spans="4:11" ht="12.75">
      <c r="D257" s="4" t="s">
        <v>1564</v>
      </c>
      <c r="E257" s="4">
        <v>5</v>
      </c>
      <c r="F257" s="22">
        <f>NT_D!G39</f>
        <v>28</v>
      </c>
      <c r="G257" s="22">
        <f>IF(NT_D!H39&lt;&gt;"",NT_D!H39,"")</f>
      </c>
      <c r="H257" s="20">
        <f t="shared" si="14"/>
        <v>0</v>
      </c>
      <c r="I257" s="4">
        <f t="shared" si="15"/>
        <v>0</v>
      </c>
      <c r="J257" s="21">
        <f>NT_D!I39</f>
        <v>0</v>
      </c>
      <c r="K257" s="21">
        <f>NT_D!J39</f>
        <v>0</v>
      </c>
    </row>
    <row r="258" spans="4:11" ht="12.75">
      <c r="D258" s="4" t="s">
        <v>1564</v>
      </c>
      <c r="E258" s="4">
        <v>5</v>
      </c>
      <c r="F258" s="22">
        <f>NT_D!G40</f>
        <v>29</v>
      </c>
      <c r="G258" s="22">
        <f>IF(NT_D!H40&lt;&gt;"",NT_D!H40,"")</f>
      </c>
      <c r="H258" s="20">
        <f t="shared" si="14"/>
        <v>0</v>
      </c>
      <c r="I258" s="4">
        <f t="shared" si="15"/>
        <v>0</v>
      </c>
      <c r="J258" s="21">
        <f>NT_D!I40</f>
        <v>0</v>
      </c>
      <c r="K258" s="21">
        <f>NT_D!J40</f>
        <v>0</v>
      </c>
    </row>
    <row r="259" spans="4:11" ht="12.75">
      <c r="D259" s="4" t="s">
        <v>1564</v>
      </c>
      <c r="E259" s="4">
        <v>5</v>
      </c>
      <c r="F259" s="22">
        <f>NT_D!G41</f>
        <v>30</v>
      </c>
      <c r="G259" s="22">
        <f>IF(NT_D!H41&lt;&gt;"",NT_D!H41,"")</f>
      </c>
      <c r="H259" s="20">
        <f t="shared" si="14"/>
        <v>0</v>
      </c>
      <c r="I259" s="4">
        <f t="shared" si="15"/>
        <v>0</v>
      </c>
      <c r="J259" s="21">
        <f>NT_D!I41</f>
        <v>0</v>
      </c>
      <c r="K259" s="21">
        <f>NT_D!J41</f>
        <v>0</v>
      </c>
    </row>
    <row r="260" spans="4:11" ht="12.75">
      <c r="D260" s="4" t="s">
        <v>1564</v>
      </c>
      <c r="E260" s="4">
        <v>5</v>
      </c>
      <c r="F260" s="22">
        <f>NT_D!G42</f>
        <v>31</v>
      </c>
      <c r="G260" s="22">
        <f>IF(NT_D!H42&lt;&gt;"",NT_D!H42,"")</f>
      </c>
      <c r="H260" s="20">
        <f t="shared" si="14"/>
        <v>0</v>
      </c>
      <c r="I260" s="4">
        <f t="shared" si="15"/>
        <v>0</v>
      </c>
      <c r="J260" s="21">
        <f>NT_D!I42</f>
        <v>0</v>
      </c>
      <c r="K260" s="21">
        <f>NT_D!J42</f>
        <v>0</v>
      </c>
    </row>
    <row r="261" spans="4:11" ht="12.75">
      <c r="D261" s="4" t="s">
        <v>1564</v>
      </c>
      <c r="E261" s="4">
        <v>5</v>
      </c>
      <c r="F261" s="22">
        <f>NT_D!G43</f>
        <v>32</v>
      </c>
      <c r="G261" s="22">
        <f>IF(NT_D!H43&lt;&gt;"",NT_D!H43,"")</f>
      </c>
      <c r="H261" s="20">
        <f t="shared" si="14"/>
        <v>0</v>
      </c>
      <c r="I261" s="4">
        <f t="shared" si="15"/>
        <v>0</v>
      </c>
      <c r="J261" s="21">
        <f>NT_D!I43</f>
        <v>0</v>
      </c>
      <c r="K261" s="21">
        <f>NT_D!J43</f>
        <v>0</v>
      </c>
    </row>
    <row r="262" spans="4:11" ht="12.75">
      <c r="D262" s="4" t="s">
        <v>1564</v>
      </c>
      <c r="E262" s="4">
        <v>5</v>
      </c>
      <c r="F262" s="22">
        <f>NT_D!G45</f>
        <v>33</v>
      </c>
      <c r="G262" s="22">
        <f>IF(NT_D!H45&lt;&gt;"",NT_D!H45,"")</f>
      </c>
      <c r="H262" s="20">
        <f t="shared" si="14"/>
        <v>0</v>
      </c>
      <c r="I262" s="4">
        <f t="shared" si="15"/>
        <v>0</v>
      </c>
      <c r="J262" s="21">
        <f>NT_D!I45</f>
        <v>0</v>
      </c>
      <c r="K262" s="21">
        <f>NT_D!J45</f>
        <v>0</v>
      </c>
    </row>
    <row r="263" spans="4:11" ht="12.75">
      <c r="D263" s="4" t="s">
        <v>1564</v>
      </c>
      <c r="E263" s="4">
        <v>5</v>
      </c>
      <c r="F263" s="22">
        <f>NT_D!G46</f>
        <v>34</v>
      </c>
      <c r="G263" s="22">
        <f>IF(NT_D!H46&lt;&gt;"",NT_D!H46,"")</f>
      </c>
      <c r="H263" s="20">
        <f t="shared" si="14"/>
        <v>0</v>
      </c>
      <c r="I263" s="4">
        <f t="shared" si="15"/>
        <v>0</v>
      </c>
      <c r="J263" s="21">
        <f>NT_D!I46</f>
        <v>0</v>
      </c>
      <c r="K263" s="21">
        <f>NT_D!J46</f>
        <v>0</v>
      </c>
    </row>
    <row r="264" spans="4:11" ht="12.75">
      <c r="D264" s="4" t="s">
        <v>1564</v>
      </c>
      <c r="E264" s="4">
        <v>5</v>
      </c>
      <c r="F264" s="22">
        <f>NT_D!G47</f>
        <v>35</v>
      </c>
      <c r="G264" s="22">
        <f>IF(NT_D!H47&lt;&gt;"",NT_D!H47,"")</f>
      </c>
      <c r="H264" s="20">
        <f t="shared" si="14"/>
        <v>0</v>
      </c>
      <c r="I264" s="4">
        <f t="shared" si="15"/>
        <v>0</v>
      </c>
      <c r="J264" s="21">
        <f>NT_D!I47</f>
        <v>0</v>
      </c>
      <c r="K264" s="21">
        <f>NT_D!J47</f>
        <v>0</v>
      </c>
    </row>
    <row r="265" spans="4:11" ht="12.75">
      <c r="D265" s="4" t="s">
        <v>1564</v>
      </c>
      <c r="E265" s="4">
        <v>5</v>
      </c>
      <c r="F265" s="22">
        <f>NT_D!G48</f>
        <v>36</v>
      </c>
      <c r="G265" s="22">
        <f>IF(NT_D!H48&lt;&gt;"",NT_D!H48,"")</f>
      </c>
      <c r="H265" s="20">
        <f t="shared" si="14"/>
        <v>0</v>
      </c>
      <c r="I265" s="4">
        <f t="shared" si="15"/>
        <v>0</v>
      </c>
      <c r="J265" s="21">
        <f>NT_D!I48</f>
        <v>0</v>
      </c>
      <c r="K265" s="21">
        <f>NT_D!J48</f>
        <v>0</v>
      </c>
    </row>
    <row r="266" spans="4:11" ht="12.75">
      <c r="D266" s="4" t="s">
        <v>1564</v>
      </c>
      <c r="E266" s="4">
        <v>5</v>
      </c>
      <c r="F266" s="22">
        <f>NT_D!G49</f>
        <v>37</v>
      </c>
      <c r="G266" s="22">
        <f>IF(NT_D!H49&lt;&gt;"",NT_D!H49,"")</f>
      </c>
      <c r="H266" s="20">
        <f t="shared" si="14"/>
        <v>0</v>
      </c>
      <c r="I266" s="4">
        <f t="shared" si="15"/>
        <v>0</v>
      </c>
      <c r="J266" s="21">
        <f>NT_D!I49</f>
        <v>0</v>
      </c>
      <c r="K266" s="21">
        <f>NT_D!J49</f>
        <v>0</v>
      </c>
    </row>
    <row r="267" spans="4:11" ht="12.75">
      <c r="D267" s="4" t="s">
        <v>1564</v>
      </c>
      <c r="E267" s="4">
        <v>5</v>
      </c>
      <c r="F267" s="22">
        <f>NT_D!G50</f>
        <v>38</v>
      </c>
      <c r="G267" s="22">
        <f>IF(NT_D!H50&lt;&gt;"",NT_D!H50,"")</f>
      </c>
      <c r="H267" s="20">
        <f t="shared" si="14"/>
        <v>0</v>
      </c>
      <c r="I267" s="4">
        <f t="shared" si="15"/>
        <v>0</v>
      </c>
      <c r="J267" s="21">
        <f>NT_D!I50</f>
        <v>0</v>
      </c>
      <c r="K267" s="21">
        <f>NT_D!J50</f>
        <v>0</v>
      </c>
    </row>
    <row r="268" spans="4:11" ht="12.75">
      <c r="D268" s="4" t="s">
        <v>1564</v>
      </c>
      <c r="E268" s="4">
        <v>5</v>
      </c>
      <c r="F268" s="22">
        <f>NT_D!G51</f>
        <v>39</v>
      </c>
      <c r="G268" s="22">
        <f>IF(NT_D!H51&lt;&gt;"",NT_D!H51,"")</f>
      </c>
      <c r="H268" s="20">
        <f t="shared" si="14"/>
        <v>0</v>
      </c>
      <c r="I268" s="4">
        <f t="shared" si="15"/>
        <v>0</v>
      </c>
      <c r="J268" s="21">
        <f>NT_D!I51</f>
        <v>0</v>
      </c>
      <c r="K268" s="21">
        <f>NT_D!J51</f>
        <v>0</v>
      </c>
    </row>
    <row r="269" spans="4:11" ht="12.75">
      <c r="D269" s="4" t="s">
        <v>1564</v>
      </c>
      <c r="E269" s="4">
        <v>5</v>
      </c>
      <c r="F269" s="22">
        <f>NT_D!G52</f>
        <v>40</v>
      </c>
      <c r="G269" s="22">
        <f>IF(NT_D!H52&lt;&gt;"",NT_D!H52,"")</f>
      </c>
      <c r="H269" s="20">
        <f t="shared" si="14"/>
        <v>0</v>
      </c>
      <c r="I269" s="4">
        <f t="shared" si="15"/>
        <v>0</v>
      </c>
      <c r="J269" s="21">
        <f>NT_D!I52</f>
        <v>0</v>
      </c>
      <c r="K269" s="21">
        <f>NT_D!J52</f>
        <v>0</v>
      </c>
    </row>
    <row r="270" spans="4:11" ht="12.75">
      <c r="D270" s="4" t="s">
        <v>1564</v>
      </c>
      <c r="E270" s="4">
        <v>5</v>
      </c>
      <c r="F270" s="22">
        <f>NT_D!G53</f>
        <v>41</v>
      </c>
      <c r="G270" s="22">
        <f>IF(NT_D!H53&lt;&gt;"",NT_D!H53,"")</f>
      </c>
      <c r="H270" s="20">
        <f>J270/100*F270+2*K270/100*F270</f>
        <v>0</v>
      </c>
      <c r="I270" s="4">
        <f>ABS(ROUND(J270,0)-J270)+ABS(ROUND(K270,0)-K270)</f>
        <v>0</v>
      </c>
      <c r="J270" s="21">
        <f>NT_D!I53</f>
        <v>0</v>
      </c>
      <c r="K270" s="21">
        <f>NT_D!J53</f>
        <v>0</v>
      </c>
    </row>
    <row r="271" spans="4:11" ht="12.75">
      <c r="D271" s="4" t="s">
        <v>1564</v>
      </c>
      <c r="E271" s="4">
        <v>5</v>
      </c>
      <c r="F271" s="22">
        <f>NT_D!G54</f>
        <v>42</v>
      </c>
      <c r="G271" s="22">
        <f>IF(NT_D!H54&lt;&gt;"",NT_D!H54,"")</f>
      </c>
      <c r="H271" s="20">
        <f>J271/100*F271+2*K271/100*F271</f>
        <v>0</v>
      </c>
      <c r="I271" s="4">
        <f>ABS(ROUND(J271,0)-J271)+ABS(ROUND(K271,0)-K271)</f>
        <v>0</v>
      </c>
      <c r="J271" s="21">
        <f>NT_D!I54</f>
        <v>0</v>
      </c>
      <c r="K271" s="21">
        <f>NT_D!J54</f>
        <v>0</v>
      </c>
    </row>
    <row r="272" spans="4:11" ht="12.75">
      <c r="D272" s="4" t="s">
        <v>1564</v>
      </c>
      <c r="E272" s="4">
        <v>5</v>
      </c>
      <c r="F272" s="22">
        <f>NT_D!G55</f>
        <v>43</v>
      </c>
      <c r="G272" s="22">
        <f>IF(NT_D!H55&lt;&gt;"",NT_D!H55,"")</f>
      </c>
      <c r="H272" s="20">
        <f>J272/100*F272+2*K272/100*F272</f>
        <v>0</v>
      </c>
      <c r="I272" s="4">
        <f>ABS(ROUND(J272,0)-J272)+ABS(ROUND(K272,0)-K272)</f>
        <v>0</v>
      </c>
      <c r="J272" s="21">
        <f>NT_D!I55</f>
        <v>0</v>
      </c>
      <c r="K272" s="21">
        <f>NT_D!J55</f>
        <v>0</v>
      </c>
    </row>
    <row r="273" spans="4:11" ht="12.75">
      <c r="D273" s="4" t="s">
        <v>1564</v>
      </c>
      <c r="E273" s="4">
        <v>5</v>
      </c>
      <c r="F273" s="22">
        <f>NT_D!G56</f>
        <v>44</v>
      </c>
      <c r="G273" s="22">
        <f>IF(NT_D!H56&lt;&gt;"",NT_D!H56,"")</f>
      </c>
      <c r="H273" s="20">
        <f>J273/100*F273+2*K273/100*F273</f>
        <v>0</v>
      </c>
      <c r="I273" s="4">
        <f>ABS(ROUND(J273,0)-J273)+ABS(ROUND(K273,0)-K273)</f>
        <v>0</v>
      </c>
      <c r="J273" s="21">
        <f>NT_D!I56</f>
        <v>0</v>
      </c>
      <c r="K273" s="21">
        <f>NT_D!J56</f>
        <v>0</v>
      </c>
    </row>
    <row r="274" spans="4:25" ht="12.75">
      <c r="D274" s="4" t="s">
        <v>1210</v>
      </c>
      <c r="E274" s="4">
        <v>6</v>
      </c>
      <c r="F274" s="4">
        <f>PK!D9</f>
        <v>1</v>
      </c>
      <c r="G274" s="4">
        <f>IF(PK!E9&lt;&gt;"",PK!E9,"")</f>
      </c>
      <c r="H274" s="20">
        <f>J274/100*F274+2*K274/100*F274+3*L274/100+4*M274/100+5*N274/100+6*O274/100+7*P274/100+8*Q274/100</f>
        <v>7446489.71</v>
      </c>
      <c r="I274" s="21">
        <f>ABS(ROUND(J274,0)-J274)+ABS(ROUND(K274,0)-K274)+ABS(ROUND(L274,0)-L274)+ABS(ROUND(M274,0)-M274)+ABS(ROUND(N274,0)-N274)+ABS(ROUND(O274,0)-O274)+ABS(ROUND(P274,0)-P274)+ABS(ROUND(Q274,0)-Q274)</f>
        <v>0</v>
      </c>
      <c r="J274" s="21">
        <f>PK!F9</f>
        <v>474600000</v>
      </c>
      <c r="K274" s="21">
        <f>PK!G9</f>
        <v>0</v>
      </c>
      <c r="L274" s="21">
        <f>PK!H9</f>
        <v>0</v>
      </c>
      <c r="M274" s="21">
        <f>PK!I9</f>
        <v>-277040383</v>
      </c>
      <c r="N274" s="21">
        <f>PK!J9</f>
        <v>-15133785</v>
      </c>
      <c r="O274" s="21">
        <f>PK!K9</f>
        <v>-394802</v>
      </c>
      <c r="P274" s="21">
        <f>PK!L9</f>
        <v>0</v>
      </c>
      <c r="Q274" s="21">
        <f>PK!M9</f>
        <v>182031030</v>
      </c>
      <c r="R274" s="4"/>
      <c r="S274" s="4"/>
      <c r="T274" s="4"/>
      <c r="U274" s="4"/>
      <c r="V274" s="4"/>
      <c r="W274" s="4"/>
      <c r="X274" s="4"/>
      <c r="Y274" s="4"/>
    </row>
    <row r="275" spans="4:25" ht="12.75">
      <c r="D275" s="4" t="s">
        <v>1210</v>
      </c>
      <c r="E275" s="4">
        <v>6</v>
      </c>
      <c r="F275" s="4">
        <f>PK!D10</f>
        <v>2</v>
      </c>
      <c r="G275" s="4">
        <f>IF(PK!E10&lt;&gt;"",PK!E10,"")</f>
      </c>
      <c r="H275" s="20">
        <f aca="true" t="shared" si="16" ref="H275:H290">J275/100*F275+2*K275/100*F275+3*L275/100+4*M275/100+5*N275/100+6*O275/100+7*P275/100+8*Q275/100</f>
        <v>0</v>
      </c>
      <c r="I275" s="21">
        <f aca="true" t="shared" si="17" ref="I275:I290">ABS(ROUND(J275,0)-J275)+ABS(ROUND(K275,0)-K275)+ABS(ROUND(L275,0)-L275)+ABS(ROUND(M275,0)-M275)+ABS(ROUND(N275,0)-N275)+ABS(ROUND(O275,0)-O275)+ABS(ROUND(P275,0)-P275)+ABS(ROUND(Q275,0)-Q275)</f>
        <v>0</v>
      </c>
      <c r="J275" s="21">
        <f>PK!F10</f>
        <v>0</v>
      </c>
      <c r="K275" s="21">
        <f>PK!G10</f>
        <v>0</v>
      </c>
      <c r="L275" s="21">
        <f>PK!H10</f>
        <v>0</v>
      </c>
      <c r="M275" s="21">
        <f>PK!I10</f>
        <v>0</v>
      </c>
      <c r="N275" s="21">
        <f>PK!J10</f>
        <v>0</v>
      </c>
      <c r="O275" s="21">
        <f>PK!K10</f>
        <v>0</v>
      </c>
      <c r="P275" s="21">
        <f>PK!L10</f>
        <v>0</v>
      </c>
      <c r="Q275" s="21">
        <f>PK!M10</f>
        <v>0</v>
      </c>
      <c r="R275" s="4"/>
      <c r="S275" s="4"/>
      <c r="T275" s="4"/>
      <c r="U275" s="4"/>
      <c r="V275" s="4"/>
      <c r="W275" s="4"/>
      <c r="X275" s="4"/>
      <c r="Y275" s="4"/>
    </row>
    <row r="276" spans="4:25" ht="12.75">
      <c r="D276" s="4" t="s">
        <v>1210</v>
      </c>
      <c r="E276" s="4">
        <v>6</v>
      </c>
      <c r="F276" s="4">
        <f>PK!D11</f>
        <v>3</v>
      </c>
      <c r="G276" s="4">
        <f>IF(PK!E11&lt;&gt;"",PK!E11,"")</f>
      </c>
      <c r="H276" s="20">
        <f t="shared" si="16"/>
        <v>16938489.71</v>
      </c>
      <c r="I276" s="21">
        <f t="shared" si="17"/>
        <v>0</v>
      </c>
      <c r="J276" s="21">
        <f>PK!F11</f>
        <v>474600000</v>
      </c>
      <c r="K276" s="21">
        <f>PK!G11</f>
        <v>0</v>
      </c>
      <c r="L276" s="21">
        <f>PK!H11</f>
        <v>0</v>
      </c>
      <c r="M276" s="21">
        <f>PK!I11</f>
        <v>-277040383</v>
      </c>
      <c r="N276" s="21">
        <f>PK!J11</f>
        <v>-15133785</v>
      </c>
      <c r="O276" s="21">
        <f>PK!K11</f>
        <v>-394802</v>
      </c>
      <c r="P276" s="21">
        <f>PK!L11</f>
        <v>0</v>
      </c>
      <c r="Q276" s="21">
        <f>PK!M11</f>
        <v>182031030</v>
      </c>
      <c r="R276" s="4"/>
      <c r="S276" s="4"/>
      <c r="T276" s="4"/>
      <c r="U276" s="4"/>
      <c r="V276" s="4"/>
      <c r="W276" s="4"/>
      <c r="X276" s="4"/>
      <c r="Y276" s="4"/>
    </row>
    <row r="277" spans="4:25" ht="12.75">
      <c r="D277" s="4" t="s">
        <v>1210</v>
      </c>
      <c r="E277" s="4">
        <v>6</v>
      </c>
      <c r="F277" s="4">
        <f>PK!D12</f>
        <v>4</v>
      </c>
      <c r="G277" s="4">
        <f>IF(PK!E12&lt;&gt;"",PK!E12,"")</f>
      </c>
      <c r="H277" s="20">
        <f t="shared" si="16"/>
        <v>38507.42</v>
      </c>
      <c r="I277" s="21">
        <f t="shared" si="17"/>
        <v>0</v>
      </c>
      <c r="J277" s="21">
        <f>PK!F12</f>
        <v>0</v>
      </c>
      <c r="K277" s="21">
        <f>PK!G12</f>
        <v>0</v>
      </c>
      <c r="L277" s="21">
        <f>PK!H12</f>
        <v>0</v>
      </c>
      <c r="M277" s="21">
        <f>PK!I12</f>
        <v>0</v>
      </c>
      <c r="N277" s="21">
        <f>PK!J12</f>
        <v>0</v>
      </c>
      <c r="O277" s="21">
        <f>PK!K12</f>
        <v>275053</v>
      </c>
      <c r="P277" s="21">
        <f>PK!L12</f>
        <v>0</v>
      </c>
      <c r="Q277" s="21">
        <f>PK!M12</f>
        <v>275053</v>
      </c>
      <c r="R277" s="4"/>
      <c r="S277" s="4"/>
      <c r="T277" s="4"/>
      <c r="U277" s="4"/>
      <c r="V277" s="4"/>
      <c r="W277" s="4"/>
      <c r="X277" s="4"/>
      <c r="Y277" s="4"/>
    </row>
    <row r="278" spans="4:25" ht="12.75">
      <c r="D278" s="4" t="s">
        <v>1210</v>
      </c>
      <c r="E278" s="4">
        <v>6</v>
      </c>
      <c r="F278" s="4">
        <f>PK!D13</f>
        <v>5</v>
      </c>
      <c r="G278" s="4">
        <f>IF(PK!E13&lt;&gt;"",PK!E13,"")</f>
      </c>
      <c r="H278" s="20">
        <f t="shared" si="16"/>
        <v>981739.22</v>
      </c>
      <c r="I278" s="21">
        <f t="shared" si="17"/>
        <v>0</v>
      </c>
      <c r="J278" s="21">
        <f>PK!F13</f>
        <v>0</v>
      </c>
      <c r="K278" s="21">
        <f>PK!G13</f>
        <v>0</v>
      </c>
      <c r="L278" s="21">
        <f>PK!H13</f>
        <v>0</v>
      </c>
      <c r="M278" s="21">
        <f>PK!I13</f>
        <v>0</v>
      </c>
      <c r="N278" s="21">
        <f>PK!J13</f>
        <v>0</v>
      </c>
      <c r="O278" s="21">
        <f>PK!K13</f>
        <v>7012423</v>
      </c>
      <c r="P278" s="21">
        <f>PK!L13</f>
        <v>0</v>
      </c>
      <c r="Q278" s="21">
        <f>PK!M13</f>
        <v>7012423</v>
      </c>
      <c r="R278" s="4"/>
      <c r="S278" s="4"/>
      <c r="T278" s="4"/>
      <c r="U278" s="4"/>
      <c r="V278" s="4"/>
      <c r="W278" s="4"/>
      <c r="X278" s="4"/>
      <c r="Y278" s="4"/>
    </row>
    <row r="279" spans="4:25" ht="12.75">
      <c r="D279" s="4" t="s">
        <v>1210</v>
      </c>
      <c r="E279" s="4">
        <v>6</v>
      </c>
      <c r="F279" s="4">
        <f>PK!D14</f>
        <v>6</v>
      </c>
      <c r="G279" s="4">
        <f>IF(PK!E14&lt;&gt;"",PK!E14,"")</f>
      </c>
      <c r="H279" s="20">
        <f t="shared" si="16"/>
        <v>-185026.24</v>
      </c>
      <c r="I279" s="21">
        <f t="shared" si="17"/>
        <v>0</v>
      </c>
      <c r="J279" s="21">
        <f>PK!F14</f>
        <v>0</v>
      </c>
      <c r="K279" s="21">
        <f>PK!G14</f>
        <v>0</v>
      </c>
      <c r="L279" s="21">
        <f>PK!H14</f>
        <v>0</v>
      </c>
      <c r="M279" s="21">
        <f>PK!I14</f>
        <v>0</v>
      </c>
      <c r="N279" s="21">
        <f>PK!J14</f>
        <v>0</v>
      </c>
      <c r="O279" s="21">
        <f>PK!K14</f>
        <v>-1321616</v>
      </c>
      <c r="P279" s="21">
        <f>PK!L14</f>
        <v>0</v>
      </c>
      <c r="Q279" s="21">
        <f>PK!M14</f>
        <v>-1321616</v>
      </c>
      <c r="R279" s="4"/>
      <c r="S279" s="4"/>
      <c r="T279" s="4"/>
      <c r="U279" s="4"/>
      <c r="V279" s="4"/>
      <c r="W279" s="4"/>
      <c r="X279" s="4"/>
      <c r="Y279" s="4"/>
    </row>
    <row r="280" spans="4:25" ht="12.75">
      <c r="D280" s="4" t="s">
        <v>1210</v>
      </c>
      <c r="E280" s="4">
        <v>6</v>
      </c>
      <c r="F280" s="4">
        <f>PK!D15</f>
        <v>7</v>
      </c>
      <c r="G280" s="4">
        <f>IF(PK!E15&lt;&gt;"",PK!E15,"")</f>
      </c>
      <c r="H280" s="20">
        <f t="shared" si="16"/>
        <v>0</v>
      </c>
      <c r="I280" s="21">
        <f t="shared" si="17"/>
        <v>0</v>
      </c>
      <c r="J280" s="21">
        <f>PK!F15</f>
        <v>0</v>
      </c>
      <c r="K280" s="21">
        <f>PK!G15</f>
        <v>0</v>
      </c>
      <c r="L280" s="21">
        <f>PK!H15</f>
        <v>0</v>
      </c>
      <c r="M280" s="21">
        <f>PK!I15</f>
        <v>0</v>
      </c>
      <c r="N280" s="21">
        <f>PK!J15</f>
        <v>0</v>
      </c>
      <c r="O280" s="21">
        <f>PK!K15</f>
        <v>0</v>
      </c>
      <c r="P280" s="21">
        <f>PK!L15</f>
        <v>0</v>
      </c>
      <c r="Q280" s="21">
        <f>PK!M15</f>
        <v>0</v>
      </c>
      <c r="R280" s="4"/>
      <c r="S280" s="4"/>
      <c r="T280" s="4"/>
      <c r="U280" s="4"/>
      <c r="V280" s="4"/>
      <c r="W280" s="4"/>
      <c r="X280" s="4"/>
      <c r="Y280" s="4"/>
    </row>
    <row r="281" spans="4:25" ht="12.75">
      <c r="D281" s="4" t="s">
        <v>1210</v>
      </c>
      <c r="E281" s="4">
        <v>6</v>
      </c>
      <c r="F281" s="4">
        <f>PK!D16</f>
        <v>8</v>
      </c>
      <c r="G281" s="4">
        <f>IF(PK!E16&lt;&gt;"",PK!E16,"")</f>
      </c>
      <c r="H281" s="20">
        <f t="shared" si="16"/>
        <v>835220.3999999999</v>
      </c>
      <c r="I281" s="21">
        <f t="shared" si="17"/>
        <v>0</v>
      </c>
      <c r="J281" s="21">
        <f>PK!F16</f>
        <v>0</v>
      </c>
      <c r="K281" s="21">
        <f>PK!G16</f>
        <v>0</v>
      </c>
      <c r="L281" s="21">
        <f>PK!H16</f>
        <v>0</v>
      </c>
      <c r="M281" s="21">
        <f>PK!I16</f>
        <v>0</v>
      </c>
      <c r="N281" s="21">
        <f>PK!J16</f>
        <v>0</v>
      </c>
      <c r="O281" s="21">
        <f>PK!K16</f>
        <v>5965860</v>
      </c>
      <c r="P281" s="21">
        <f>PK!L16</f>
        <v>0</v>
      </c>
      <c r="Q281" s="21">
        <f>PK!M16</f>
        <v>5965860</v>
      </c>
      <c r="R281" s="4"/>
      <c r="S281" s="4"/>
      <c r="T281" s="4"/>
      <c r="U281" s="4"/>
      <c r="V281" s="4"/>
      <c r="W281" s="4"/>
      <c r="X281" s="4"/>
      <c r="Y281" s="4"/>
    </row>
    <row r="282" spans="4:25" ht="12.75">
      <c r="D282" s="4" t="s">
        <v>1210</v>
      </c>
      <c r="E282" s="4">
        <v>6</v>
      </c>
      <c r="F282" s="4">
        <f>PK!D17</f>
        <v>9</v>
      </c>
      <c r="G282" s="4">
        <f>IF(PK!E17&lt;&gt;"",PK!E17,"")</f>
      </c>
      <c r="H282" s="20">
        <f t="shared" si="16"/>
        <v>212954.43</v>
      </c>
      <c r="I282" s="21">
        <f t="shared" si="17"/>
        <v>0</v>
      </c>
      <c r="J282" s="21">
        <f>PK!F17</f>
        <v>0</v>
      </c>
      <c r="K282" s="21">
        <f>PK!G17</f>
        <v>0</v>
      </c>
      <c r="L282" s="21">
        <f>PK!H17</f>
        <v>0</v>
      </c>
      <c r="M282" s="21">
        <f>PK!I17</f>
        <v>0</v>
      </c>
      <c r="N282" s="21">
        <f>PK!J17</f>
        <v>1638111</v>
      </c>
      <c r="O282" s="21">
        <f>PK!K17</f>
        <v>0</v>
      </c>
      <c r="P282" s="21">
        <f>PK!L17</f>
        <v>0</v>
      </c>
      <c r="Q282" s="21">
        <f>PK!M17</f>
        <v>1638111</v>
      </c>
      <c r="R282" s="4"/>
      <c r="S282" s="4"/>
      <c r="T282" s="4"/>
      <c r="U282" s="4"/>
      <c r="V282" s="4"/>
      <c r="W282" s="4"/>
      <c r="X282" s="4"/>
      <c r="Y282" s="4"/>
    </row>
    <row r="283" spans="4:25" ht="12.75">
      <c r="D283" s="4" t="s">
        <v>1210</v>
      </c>
      <c r="E283" s="4">
        <v>6</v>
      </c>
      <c r="F283" s="4">
        <f>PK!D18</f>
        <v>10</v>
      </c>
      <c r="G283" s="4">
        <f>IF(PK!E18&lt;&gt;"",PK!E18,"")</f>
      </c>
      <c r="H283" s="20">
        <f t="shared" si="16"/>
        <v>1048174.8300000001</v>
      </c>
      <c r="I283" s="21">
        <f t="shared" si="17"/>
        <v>0</v>
      </c>
      <c r="J283" s="21">
        <f>PK!F18</f>
        <v>0</v>
      </c>
      <c r="K283" s="21">
        <f>PK!G18</f>
        <v>0</v>
      </c>
      <c r="L283" s="21">
        <f>PK!H18</f>
        <v>0</v>
      </c>
      <c r="M283" s="21">
        <f>PK!I18</f>
        <v>0</v>
      </c>
      <c r="N283" s="21">
        <f>PK!J18</f>
        <v>1638111</v>
      </c>
      <c r="O283" s="21">
        <f>PK!K18</f>
        <v>5965860</v>
      </c>
      <c r="P283" s="21">
        <f>PK!L18</f>
        <v>0</v>
      </c>
      <c r="Q283" s="21">
        <f>PK!M18</f>
        <v>7603971</v>
      </c>
      <c r="R283" s="4"/>
      <c r="S283" s="4"/>
      <c r="T283" s="4"/>
      <c r="U283" s="4"/>
      <c r="V283" s="4"/>
      <c r="W283" s="4"/>
      <c r="X283" s="4"/>
      <c r="Y283" s="4"/>
    </row>
    <row r="284" spans="4:25" ht="12.75">
      <c r="D284" s="4" t="s">
        <v>1210</v>
      </c>
      <c r="E284" s="4">
        <v>6</v>
      </c>
      <c r="F284" s="4">
        <f>PK!D19</f>
        <v>11</v>
      </c>
      <c r="G284" s="4">
        <f>IF(PK!E19&lt;&gt;"",PK!E19,"")</f>
      </c>
      <c r="H284" s="20">
        <f t="shared" si="16"/>
        <v>0</v>
      </c>
      <c r="I284" s="21">
        <f t="shared" si="17"/>
        <v>0</v>
      </c>
      <c r="J284" s="21">
        <f>PK!F19</f>
        <v>0</v>
      </c>
      <c r="K284" s="21">
        <f>PK!G19</f>
        <v>0</v>
      </c>
      <c r="L284" s="21">
        <f>PK!H19</f>
        <v>0</v>
      </c>
      <c r="M284" s="21">
        <f>PK!I19</f>
        <v>0</v>
      </c>
      <c r="N284" s="21">
        <f>PK!J19</f>
        <v>0</v>
      </c>
      <c r="O284" s="21">
        <f>PK!K19</f>
        <v>0</v>
      </c>
      <c r="P284" s="21">
        <f>PK!L19</f>
        <v>0</v>
      </c>
      <c r="Q284" s="21">
        <f>PK!M19</f>
        <v>0</v>
      </c>
      <c r="R284" s="4"/>
      <c r="S284" s="4"/>
      <c r="T284" s="4"/>
      <c r="U284" s="4"/>
      <c r="V284" s="4"/>
      <c r="W284" s="4"/>
      <c r="X284" s="4"/>
      <c r="Y284" s="4"/>
    </row>
    <row r="285" spans="4:25" ht="12.75">
      <c r="D285" s="4" t="s">
        <v>1210</v>
      </c>
      <c r="E285" s="4">
        <v>6</v>
      </c>
      <c r="F285" s="4">
        <f>PK!D20</f>
        <v>12</v>
      </c>
      <c r="G285" s="4">
        <f>IF(PK!E20&lt;&gt;"",PK!E20,"")</f>
      </c>
      <c r="H285" s="20">
        <f t="shared" si="16"/>
        <v>0</v>
      </c>
      <c r="I285" s="21">
        <f t="shared" si="17"/>
        <v>0</v>
      </c>
      <c r="J285" s="21">
        <f>PK!F20</f>
        <v>0</v>
      </c>
      <c r="K285" s="21">
        <f>PK!G20</f>
        <v>0</v>
      </c>
      <c r="L285" s="21">
        <f>PK!H20</f>
        <v>0</v>
      </c>
      <c r="M285" s="21">
        <f>PK!I20</f>
        <v>0</v>
      </c>
      <c r="N285" s="21">
        <f>PK!J20</f>
        <v>0</v>
      </c>
      <c r="O285" s="21">
        <f>PK!K20</f>
        <v>0</v>
      </c>
      <c r="P285" s="21">
        <f>PK!L20</f>
        <v>0</v>
      </c>
      <c r="Q285" s="21">
        <f>PK!M20</f>
        <v>0</v>
      </c>
      <c r="R285" s="4"/>
      <c r="S285" s="4"/>
      <c r="T285" s="4"/>
      <c r="U285" s="4"/>
      <c r="V285" s="4"/>
      <c r="W285" s="4"/>
      <c r="X285" s="4"/>
      <c r="Y285" s="4"/>
    </row>
    <row r="286" spans="4:25" ht="12.75">
      <c r="D286" s="4" t="s">
        <v>1210</v>
      </c>
      <c r="E286" s="4">
        <v>6</v>
      </c>
      <c r="F286" s="4">
        <f>PK!D21</f>
        <v>13</v>
      </c>
      <c r="G286" s="4">
        <f>IF(PK!E21&lt;&gt;"",PK!E21,"")</f>
      </c>
      <c r="H286" s="20">
        <f t="shared" si="16"/>
        <v>151337.84999999998</v>
      </c>
      <c r="I286" s="21">
        <f t="shared" si="17"/>
        <v>0</v>
      </c>
      <c r="J286" s="21">
        <f>PK!F21</f>
        <v>0</v>
      </c>
      <c r="K286" s="21">
        <f>PK!G21</f>
        <v>0</v>
      </c>
      <c r="L286" s="21">
        <f>PK!H21</f>
        <v>0</v>
      </c>
      <c r="M286" s="21">
        <f>PK!I21</f>
        <v>-15133785</v>
      </c>
      <c r="N286" s="21">
        <f>PK!J21</f>
        <v>15133785</v>
      </c>
      <c r="O286" s="21">
        <f>PK!K21</f>
        <v>0</v>
      </c>
      <c r="P286" s="21">
        <f>PK!L21</f>
        <v>0</v>
      </c>
      <c r="Q286" s="21">
        <f>PK!M21</f>
        <v>0</v>
      </c>
      <c r="R286" s="4"/>
      <c r="S286" s="4"/>
      <c r="T286" s="4"/>
      <c r="U286" s="4"/>
      <c r="V286" s="4"/>
      <c r="W286" s="4"/>
      <c r="X286" s="4"/>
      <c r="Y286" s="4"/>
    </row>
    <row r="287" spans="4:25" ht="12.75">
      <c r="D287" s="4" t="s">
        <v>1210</v>
      </c>
      <c r="E287" s="4">
        <v>6</v>
      </c>
      <c r="F287" s="4">
        <f>PK!D22</f>
        <v>14</v>
      </c>
      <c r="G287" s="4">
        <f>IF(PK!E22&lt;&gt;"",PK!E22,"")</f>
      </c>
      <c r="H287" s="20">
        <f t="shared" si="16"/>
        <v>0</v>
      </c>
      <c r="I287" s="21">
        <f t="shared" si="17"/>
        <v>0</v>
      </c>
      <c r="J287" s="21">
        <f>PK!F22</f>
        <v>0</v>
      </c>
      <c r="K287" s="21">
        <f>PK!G22</f>
        <v>0</v>
      </c>
      <c r="L287" s="21">
        <f>PK!H22</f>
        <v>0</v>
      </c>
      <c r="M287" s="21">
        <f>PK!I22</f>
        <v>0</v>
      </c>
      <c r="N287" s="21">
        <f>PK!J22</f>
        <v>0</v>
      </c>
      <c r="O287" s="21">
        <f>PK!K22</f>
        <v>0</v>
      </c>
      <c r="P287" s="21">
        <f>PK!L22</f>
        <v>0</v>
      </c>
      <c r="Q287" s="21">
        <f>PK!M22</f>
        <v>0</v>
      </c>
      <c r="R287" s="4"/>
      <c r="S287" s="4"/>
      <c r="T287" s="4"/>
      <c r="U287" s="4"/>
      <c r="V287" s="4"/>
      <c r="W287" s="4"/>
      <c r="X287" s="4"/>
      <c r="Y287" s="4"/>
    </row>
    <row r="288" spans="4:25" ht="12.75">
      <c r="D288" s="4" t="s">
        <v>1210</v>
      </c>
      <c r="E288" s="4">
        <v>6</v>
      </c>
      <c r="F288" s="4">
        <f>PK!D23</f>
        <v>15</v>
      </c>
      <c r="G288" s="4">
        <f>IF(PK!E23&lt;&gt;"",PK!E23,"")</f>
      </c>
      <c r="H288" s="20">
        <f t="shared" si="16"/>
        <v>0</v>
      </c>
      <c r="I288" s="21">
        <f t="shared" si="17"/>
        <v>0</v>
      </c>
      <c r="J288" s="21">
        <f>PK!F23</f>
        <v>0</v>
      </c>
      <c r="K288" s="21">
        <f>PK!G23</f>
        <v>0</v>
      </c>
      <c r="L288" s="21">
        <f>PK!H23</f>
        <v>0</v>
      </c>
      <c r="M288" s="21">
        <f>PK!I23</f>
        <v>0</v>
      </c>
      <c r="N288" s="21">
        <f>PK!J23</f>
        <v>0</v>
      </c>
      <c r="O288" s="21">
        <f>PK!K23</f>
        <v>0</v>
      </c>
      <c r="P288" s="21">
        <f>PK!L23</f>
        <v>0</v>
      </c>
      <c r="Q288" s="21">
        <f>PK!M23</f>
        <v>0</v>
      </c>
      <c r="R288" s="4"/>
      <c r="S288" s="4"/>
      <c r="T288" s="4"/>
      <c r="U288" s="4"/>
      <c r="V288" s="4"/>
      <c r="W288" s="4"/>
      <c r="X288" s="4"/>
      <c r="Y288" s="4"/>
    </row>
    <row r="289" spans="4:25" ht="12.75">
      <c r="D289" s="4" t="s">
        <v>1210</v>
      </c>
      <c r="E289" s="4">
        <v>6</v>
      </c>
      <c r="F289" s="4">
        <f>PK!D24</f>
        <v>16</v>
      </c>
      <c r="G289" s="4">
        <f>IF(PK!E24&lt;&gt;"",PK!E24,"")</f>
      </c>
      <c r="H289" s="20">
        <f t="shared" si="16"/>
        <v>0</v>
      </c>
      <c r="I289" s="21">
        <f t="shared" si="17"/>
        <v>0</v>
      </c>
      <c r="J289" s="21">
        <f>PK!F24</f>
        <v>0</v>
      </c>
      <c r="K289" s="21">
        <f>PK!G24</f>
        <v>0</v>
      </c>
      <c r="L289" s="21">
        <f>PK!H24</f>
        <v>0</v>
      </c>
      <c r="M289" s="21">
        <f>PK!I24</f>
        <v>0</v>
      </c>
      <c r="N289" s="21">
        <f>PK!J24</f>
        <v>0</v>
      </c>
      <c r="O289" s="21">
        <f>PK!K24</f>
        <v>0</v>
      </c>
      <c r="P289" s="21">
        <f>PK!L24</f>
        <v>0</v>
      </c>
      <c r="Q289" s="21">
        <f>PK!M24</f>
        <v>0</v>
      </c>
      <c r="R289" s="4"/>
      <c r="S289" s="4"/>
      <c r="T289" s="4"/>
      <c r="U289" s="4"/>
      <c r="V289" s="4"/>
      <c r="W289" s="4"/>
      <c r="X289" s="4"/>
      <c r="Y289" s="4"/>
    </row>
    <row r="290" spans="4:25" ht="12.75">
      <c r="D290" s="4" t="s">
        <v>1210</v>
      </c>
      <c r="E290" s="4">
        <v>6</v>
      </c>
      <c r="F290" s="4">
        <f>PK!D25</f>
        <v>17</v>
      </c>
      <c r="G290" s="4">
        <f>IF(PK!E25&lt;&gt;"",PK!E25,"")</f>
      </c>
      <c r="H290" s="20">
        <f t="shared" si="16"/>
        <v>84582002.39</v>
      </c>
      <c r="I290" s="21">
        <f t="shared" si="17"/>
        <v>0</v>
      </c>
      <c r="J290" s="21">
        <f>PK!F25</f>
        <v>474600000</v>
      </c>
      <c r="K290" s="21">
        <f>PK!G25</f>
        <v>0</v>
      </c>
      <c r="L290" s="21">
        <f>PK!H25</f>
        <v>0</v>
      </c>
      <c r="M290" s="21">
        <f>PK!I25</f>
        <v>-292174168</v>
      </c>
      <c r="N290" s="21">
        <f>PK!J25</f>
        <v>1638111</v>
      </c>
      <c r="O290" s="21">
        <f>PK!K25</f>
        <v>5571058</v>
      </c>
      <c r="P290" s="21">
        <f>PK!L25</f>
        <v>0</v>
      </c>
      <c r="Q290" s="21">
        <f>PK!M25</f>
        <v>189635001</v>
      </c>
      <c r="R290" s="4"/>
      <c r="S290" s="4"/>
      <c r="T290" s="4"/>
      <c r="U290" s="4"/>
      <c r="V290" s="4"/>
      <c r="W290" s="4"/>
      <c r="X290" s="4"/>
      <c r="Y290" s="4"/>
    </row>
  </sheetData>
  <sheetProtection password="C79A" sheet="1" objects="1" scenarios="1"/>
  <conditionalFormatting sqref="F2:G273">
    <cfRule type="cellIs" priority="1" dxfId="1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68"/>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0" defaultRowHeight="12.75" zeroHeight="1"/>
  <cols>
    <col min="1" max="1" width="6.7109375" style="155" customWidth="1"/>
    <col min="2" max="2" width="8.7109375" style="155" customWidth="1"/>
    <col min="3" max="5" width="10.7109375" style="155" customWidth="1"/>
    <col min="6" max="8" width="11.7109375" style="155" customWidth="1"/>
    <col min="9" max="9" width="15.7109375" style="155" customWidth="1"/>
    <col min="10" max="10" width="7.7109375" style="155" customWidth="1"/>
    <col min="11" max="11" width="0.85546875" style="155" customWidth="1"/>
    <col min="12" max="16384" width="9.140625" style="159" hidden="1" customWidth="1"/>
  </cols>
  <sheetData>
    <row r="1" spans="15:29" ht="11.25">
      <c r="O1" s="161" t="s">
        <v>591</v>
      </c>
      <c r="P1" s="161" t="s">
        <v>592</v>
      </c>
      <c r="Q1" s="161" t="s">
        <v>593</v>
      </c>
      <c r="R1" s="161" t="s">
        <v>2498</v>
      </c>
      <c r="S1" s="161" t="s">
        <v>595</v>
      </c>
      <c r="T1" s="161" t="s">
        <v>2498</v>
      </c>
      <c r="U1" s="161" t="s">
        <v>595</v>
      </c>
      <c r="V1" s="161" t="s">
        <v>2498</v>
      </c>
      <c r="W1" s="161" t="s">
        <v>595</v>
      </c>
      <c r="X1" s="161" t="s">
        <v>2498</v>
      </c>
      <c r="Y1" s="161" t="s">
        <v>595</v>
      </c>
      <c r="Z1" s="161" t="s">
        <v>2498</v>
      </c>
      <c r="AA1" s="161" t="s">
        <v>595</v>
      </c>
      <c r="AB1" s="159" t="s">
        <v>2498</v>
      </c>
      <c r="AC1" s="159" t="s">
        <v>595</v>
      </c>
    </row>
    <row r="2" spans="1:29" ht="15.75" customHeight="1">
      <c r="A2" s="105" t="s">
        <v>2610</v>
      </c>
      <c r="B2" s="54" t="s">
        <v>2609</v>
      </c>
      <c r="C2" s="54" t="s">
        <v>2612</v>
      </c>
      <c r="D2" s="54" t="s">
        <v>2027</v>
      </c>
      <c r="E2" s="54" t="s">
        <v>1209</v>
      </c>
      <c r="F2" s="54" t="s">
        <v>2463</v>
      </c>
      <c r="G2" s="54" t="s">
        <v>621</v>
      </c>
      <c r="H2" s="54" t="s">
        <v>622</v>
      </c>
      <c r="I2" s="54" t="s">
        <v>1210</v>
      </c>
      <c r="J2" s="55" t="s">
        <v>2611</v>
      </c>
      <c r="L2" s="107" t="s">
        <v>1278</v>
      </c>
      <c r="M2" s="107" t="s">
        <v>1279</v>
      </c>
      <c r="N2" s="163" t="s">
        <v>1561</v>
      </c>
      <c r="O2" s="164">
        <f>Bilanca!Q1</f>
        <v>1</v>
      </c>
      <c r="P2" s="165">
        <f>Bilanca!Q2</f>
        <v>1</v>
      </c>
      <c r="Q2" s="166">
        <f>Bilanca!Q3</f>
        <v>1</v>
      </c>
      <c r="R2" s="176" t="s">
        <v>1717</v>
      </c>
      <c r="S2" s="167">
        <f>IF(RefStr!C17&lt;&gt;"",IF(ISERROR(INT(RefStr!C17)),0,RefStr!C17),0)</f>
        <v>10</v>
      </c>
      <c r="T2" s="176" t="s">
        <v>594</v>
      </c>
      <c r="U2" s="167" t="str">
        <f>RefStr!I21</f>
        <v>DA</v>
      </c>
      <c r="V2" s="176" t="s">
        <v>2348</v>
      </c>
      <c r="W2" s="167">
        <f>RefStr!C31</f>
        <v>10110</v>
      </c>
      <c r="X2" s="176" t="s">
        <v>126</v>
      </c>
      <c r="Y2" s="167">
        <f>IF(RefStr!C54&lt;&gt;"",RefStr!C54,"")</f>
        <v>100</v>
      </c>
      <c r="Z2" s="176" t="s">
        <v>940</v>
      </c>
      <c r="AA2" s="167">
        <f>IF(RefStr!B64="","",RefStr!B64)</f>
      </c>
      <c r="AB2" s="159" t="s">
        <v>1162</v>
      </c>
      <c r="AC2" s="159" t="str">
        <f>RefStr!I68</f>
        <v>DA</v>
      </c>
    </row>
    <row r="3" spans="1:27" ht="13.5" customHeight="1">
      <c r="A3" s="519" t="s">
        <v>2539</v>
      </c>
      <c r="B3" s="520"/>
      <c r="C3" s="520"/>
      <c r="D3" s="520"/>
      <c r="E3" s="520"/>
      <c r="F3" s="520"/>
      <c r="G3" s="520"/>
      <c r="H3" s="520"/>
      <c r="I3" s="527"/>
      <c r="J3" s="528"/>
      <c r="L3" s="107"/>
      <c r="M3" s="107"/>
      <c r="N3" s="163" t="s">
        <v>1209</v>
      </c>
      <c r="O3" s="168">
        <f>RDG!Q1</f>
        <v>1</v>
      </c>
      <c r="P3" s="169">
        <f>RDG!Q2</f>
        <v>1</v>
      </c>
      <c r="Q3" s="170">
        <f>RDG!Q3</f>
        <v>1</v>
      </c>
      <c r="R3" s="177" t="s">
        <v>2004</v>
      </c>
      <c r="S3" s="162">
        <f>IF(RefStr!C50&lt;&gt;"",IF(ISERROR(INT(RefStr!C50)),0,RefStr!C50),0)</f>
        <v>4</v>
      </c>
      <c r="T3" s="177" t="s">
        <v>2725</v>
      </c>
      <c r="U3" s="162" t="str">
        <f>RefStr!L21</f>
        <v>11686457780</v>
      </c>
      <c r="V3" s="177" t="s">
        <v>2349</v>
      </c>
      <c r="W3" s="162" t="str">
        <f>RefStr!F31</f>
        <v>Zagreb</v>
      </c>
      <c r="X3" s="177" t="s">
        <v>127</v>
      </c>
      <c r="Y3" s="162">
        <f>IF(RefStr!F54&lt;&gt;"",RefStr!F54,"")</f>
        <v>0</v>
      </c>
      <c r="Z3" s="177" t="s">
        <v>941</v>
      </c>
      <c r="AA3" s="162">
        <f>IF(RefStr!B66="","",RefStr!B66)</f>
      </c>
    </row>
    <row r="4" spans="1:27" ht="13.5" customHeight="1">
      <c r="A4" s="521"/>
      <c r="B4" s="522"/>
      <c r="C4" s="522"/>
      <c r="D4" s="522"/>
      <c r="E4" s="522"/>
      <c r="F4" s="522"/>
      <c r="G4" s="522"/>
      <c r="H4" s="522"/>
      <c r="I4" s="184" t="s">
        <v>1276</v>
      </c>
      <c r="J4" s="185">
        <f>SUM(L12:L68)</f>
        <v>0</v>
      </c>
      <c r="L4" s="3"/>
      <c r="M4" s="3"/>
      <c r="N4" s="163" t="s">
        <v>1562</v>
      </c>
      <c r="O4" s="168">
        <f>Dodatni!Q1</f>
        <v>0</v>
      </c>
      <c r="P4" s="169">
        <f>Dodatni!Q2</f>
        <v>0</v>
      </c>
      <c r="Q4" s="170">
        <f>Dodatni!Q3</f>
        <v>0</v>
      </c>
      <c r="R4" s="177" t="s">
        <v>2660</v>
      </c>
      <c r="S4" s="162">
        <f>IF(RefStr!C52&lt;&gt;"",IF(ISERROR(INT(RefStr!C52)),0,RefStr!C52),0)</f>
        <v>11</v>
      </c>
      <c r="T4" s="177" t="s">
        <v>893</v>
      </c>
      <c r="U4" s="162" t="str">
        <f>RefStr!C27</f>
        <v>32247795989</v>
      </c>
      <c r="V4" s="177" t="s">
        <v>2350</v>
      </c>
      <c r="W4" s="162" t="str">
        <f>RefStr!C33</f>
        <v>R. Frangeša Mihanovića 9</v>
      </c>
      <c r="X4" s="177" t="s">
        <v>129</v>
      </c>
      <c r="Y4" s="162">
        <f>RefStr!C60</f>
        <v>12</v>
      </c>
      <c r="Z4" s="177" t="s">
        <v>944</v>
      </c>
      <c r="AA4" s="162" t="str">
        <f>IF(RefStr!A75&lt;&gt;"",RefStr!A75,"")</f>
        <v>Mladen Duliba</v>
      </c>
    </row>
    <row r="5" spans="1:27" ht="13.5" customHeight="1">
      <c r="A5" s="521"/>
      <c r="B5" s="522"/>
      <c r="C5" s="522"/>
      <c r="D5" s="522"/>
      <c r="E5" s="522"/>
      <c r="F5" s="522"/>
      <c r="G5" s="522"/>
      <c r="H5" s="522"/>
      <c r="I5" s="529"/>
      <c r="J5" s="530"/>
      <c r="L5" s="3"/>
      <c r="M5" s="3"/>
      <c r="N5" s="163" t="s">
        <v>1563</v>
      </c>
      <c r="O5" s="168">
        <f>NT_I!Q1</f>
        <v>1</v>
      </c>
      <c r="P5" s="169">
        <f>NT_I!Q2</f>
        <v>1</v>
      </c>
      <c r="Q5" s="170">
        <f>NT_I!Q3</f>
        <v>1</v>
      </c>
      <c r="R5" s="177" t="s">
        <v>2658</v>
      </c>
      <c r="S5" s="162">
        <f>IF(RefStr!C19&lt;&gt;"",IF(ISERROR(INT(RefStr!C19)),0,RefStr!C19),0)</f>
        <v>2</v>
      </c>
      <c r="T5" s="177" t="s">
        <v>2345</v>
      </c>
      <c r="U5" s="162" t="str">
        <f>RefStr!H27</f>
        <v>03467988</v>
      </c>
      <c r="V5" s="177" t="s">
        <v>2757</v>
      </c>
      <c r="W5" s="162" t="str">
        <f>RefStr!L35</f>
        <v>01/2391-121</v>
      </c>
      <c r="X5" s="177" t="s">
        <v>130</v>
      </c>
      <c r="Y5" s="162">
        <f>RefStr!F60</f>
        <v>12</v>
      </c>
      <c r="Z5" s="177" t="s">
        <v>1122</v>
      </c>
      <c r="AA5" s="162">
        <f>RefStr!C58</f>
        <v>209</v>
      </c>
    </row>
    <row r="6" spans="1:27" ht="13.5" customHeight="1">
      <c r="A6" s="521"/>
      <c r="B6" s="522"/>
      <c r="C6" s="522"/>
      <c r="D6" s="522"/>
      <c r="E6" s="522"/>
      <c r="F6" s="522"/>
      <c r="G6" s="522"/>
      <c r="H6" s="522"/>
      <c r="I6" s="529"/>
      <c r="J6" s="530"/>
      <c r="L6" s="3"/>
      <c r="M6" s="3"/>
      <c r="N6" s="163" t="s">
        <v>1564</v>
      </c>
      <c r="O6" s="168">
        <f>NT_D!Q1</f>
        <v>0</v>
      </c>
      <c r="P6" s="169">
        <f>NT_D!Q2</f>
        <v>0</v>
      </c>
      <c r="Q6" s="170">
        <f>NT_D!Q3</f>
        <v>0</v>
      </c>
      <c r="R6" s="177" t="s">
        <v>2656</v>
      </c>
      <c r="S6" s="162" t="str">
        <f>RefStr!C21</f>
        <v>NE</v>
      </c>
      <c r="T6" s="177" t="s">
        <v>2346</v>
      </c>
      <c r="U6" s="162" t="str">
        <f>RefStr!M27</f>
        <v>080007370</v>
      </c>
      <c r="V6" s="177" t="s">
        <v>2654</v>
      </c>
      <c r="W6" s="162" t="str">
        <f>TRIM(UPPER(RefStr!C35))</f>
        <v>INFO@CROATIABANKA.HR</v>
      </c>
      <c r="X6" s="177" t="s">
        <v>132</v>
      </c>
      <c r="Y6" s="162" t="str">
        <f>RefStr!C68</f>
        <v>Monika Rajković</v>
      </c>
      <c r="Z6" s="177" t="s">
        <v>1123</v>
      </c>
      <c r="AA6" s="162">
        <f>RefStr!F58</f>
        <v>208</v>
      </c>
    </row>
    <row r="7" spans="1:27" ht="13.5" customHeight="1">
      <c r="A7" s="521"/>
      <c r="B7" s="522"/>
      <c r="C7" s="522"/>
      <c r="D7" s="522"/>
      <c r="E7" s="522"/>
      <c r="F7" s="522"/>
      <c r="G7" s="522"/>
      <c r="H7" s="522"/>
      <c r="I7" s="184" t="s">
        <v>1277</v>
      </c>
      <c r="J7" s="186">
        <f>SUM(M12:M68)</f>
        <v>1</v>
      </c>
      <c r="N7" s="163" t="s">
        <v>1210</v>
      </c>
      <c r="O7" s="168">
        <f>PK!S1</f>
        <v>1</v>
      </c>
      <c r="P7" s="169">
        <v>0</v>
      </c>
      <c r="Q7" s="170">
        <f>PK!S2</f>
        <v>1</v>
      </c>
      <c r="R7" s="177" t="s">
        <v>2758</v>
      </c>
      <c r="S7" s="162">
        <f>IF(RefStr!C44&lt;&gt;"",IF(ISERROR(INT(RefStr!C44)),0,RefStr!C44),0)</f>
        <v>0</v>
      </c>
      <c r="T7" s="177" t="s">
        <v>2502</v>
      </c>
      <c r="U7" s="162">
        <f>RefStr!C7</f>
        <v>4</v>
      </c>
      <c r="V7" s="177" t="s">
        <v>729</v>
      </c>
      <c r="W7" s="162" t="str">
        <f>RefStr!C42</f>
        <v>6419</v>
      </c>
      <c r="X7" s="177" t="s">
        <v>133</v>
      </c>
      <c r="Y7" s="162" t="str">
        <f>RefStr!C70</f>
        <v>01/2391-679</v>
      </c>
      <c r="Z7" s="177" t="s">
        <v>1124</v>
      </c>
      <c r="AA7" s="162">
        <f>RefStr!C56</f>
        <v>221</v>
      </c>
    </row>
    <row r="8" spans="1:27" ht="13.5" customHeight="1">
      <c r="A8" s="523"/>
      <c r="B8" s="524"/>
      <c r="C8" s="524"/>
      <c r="D8" s="524"/>
      <c r="E8" s="524"/>
      <c r="F8" s="524"/>
      <c r="G8" s="524"/>
      <c r="H8" s="524"/>
      <c r="I8" s="525"/>
      <c r="J8" s="526"/>
      <c r="L8" s="156"/>
      <c r="M8" s="156"/>
      <c r="N8" s="180" t="s">
        <v>2540</v>
      </c>
      <c r="O8" s="171" t="str">
        <f>IF(RefStr!N6="NE","DA",IF(RefStr!N6="DA","NE",RefStr!N6))</f>
        <v>NE</v>
      </c>
      <c r="P8" s="172">
        <f>RefStr!C60</f>
        <v>12</v>
      </c>
      <c r="Q8" s="173">
        <f>RefStr!F60</f>
        <v>12</v>
      </c>
      <c r="R8" s="177" t="s">
        <v>2499</v>
      </c>
      <c r="S8" s="162">
        <f>IF(RefStr!C4&lt;&gt;"",RefStr!C4,0)</f>
        <v>42370</v>
      </c>
      <c r="T8" s="177" t="s">
        <v>2501</v>
      </c>
      <c r="U8" s="162" t="str">
        <f>RefStr!D7</f>
        <v>Dioničko društvo</v>
      </c>
      <c r="V8" s="177" t="s">
        <v>276</v>
      </c>
      <c r="W8" s="162" t="str">
        <f>RefStr!D42</f>
        <v>Ostalo novčarsko posredovanje</v>
      </c>
      <c r="X8" s="177" t="s">
        <v>134</v>
      </c>
      <c r="Y8" s="162" t="str">
        <f>TRIM(UPPER(RefStr!C72))</f>
        <v>MONIKA.RAJKOVIC@CROATIABANKA.HR</v>
      </c>
      <c r="Z8" s="177" t="s">
        <v>1125</v>
      </c>
      <c r="AA8" s="162">
        <f>RefStr!F56</f>
        <v>217</v>
      </c>
    </row>
    <row r="9" spans="1:27" ht="13.5" customHeight="1">
      <c r="A9" s="511" t="s">
        <v>1233</v>
      </c>
      <c r="B9" s="511"/>
      <c r="C9" s="511" t="s">
        <v>596</v>
      </c>
      <c r="D9" s="511"/>
      <c r="E9" s="511"/>
      <c r="F9" s="511"/>
      <c r="G9" s="511"/>
      <c r="H9" s="511"/>
      <c r="I9" s="511"/>
      <c r="J9" s="511"/>
      <c r="L9" s="156"/>
      <c r="M9" s="156"/>
      <c r="N9" s="163"/>
      <c r="O9" s="230" t="s">
        <v>1369</v>
      </c>
      <c r="P9" s="174">
        <f>RefStr!C58</f>
        <v>209</v>
      </c>
      <c r="Q9" s="174">
        <f>RefStr!F58</f>
        <v>208</v>
      </c>
      <c r="R9" s="177" t="s">
        <v>2500</v>
      </c>
      <c r="S9" s="162">
        <f>IF(RefStr!F4&lt;&gt;"",RefStr!F4,0)</f>
        <v>42735</v>
      </c>
      <c r="T9" s="177" t="s">
        <v>1722</v>
      </c>
      <c r="U9" s="162">
        <f>RefStr!C39</f>
        <v>133</v>
      </c>
      <c r="V9" s="177" t="s">
        <v>1577</v>
      </c>
      <c r="W9" s="162">
        <f>RefStr!M46</f>
        <v>0</v>
      </c>
      <c r="X9" s="177" t="s">
        <v>136</v>
      </c>
      <c r="Y9" s="162">
        <f>RefStr!B64</f>
        <v>0</v>
      </c>
      <c r="Z9" s="187" t="s">
        <v>1159</v>
      </c>
      <c r="AA9" s="187" t="str">
        <f>RefStr!I56</f>
        <v>DA</v>
      </c>
    </row>
    <row r="10" spans="1:27" ht="13.5" customHeight="1">
      <c r="A10" s="512"/>
      <c r="B10" s="512"/>
      <c r="C10" s="512"/>
      <c r="D10" s="512"/>
      <c r="E10" s="512"/>
      <c r="F10" s="512"/>
      <c r="G10" s="512"/>
      <c r="H10" s="512"/>
      <c r="I10" s="512"/>
      <c r="J10" s="512"/>
      <c r="L10" s="156"/>
      <c r="M10" s="156"/>
      <c r="N10" s="163"/>
      <c r="O10" s="230" t="s">
        <v>1370</v>
      </c>
      <c r="P10" s="174">
        <f>RefStr!C56</f>
        <v>221</v>
      </c>
      <c r="Q10" s="174">
        <f>RefStr!F56</f>
        <v>217</v>
      </c>
      <c r="R10" s="177" t="s">
        <v>2503</v>
      </c>
      <c r="S10" s="162">
        <f>RefStr!C23</f>
        <v>1</v>
      </c>
      <c r="T10" s="177" t="s">
        <v>2761</v>
      </c>
      <c r="U10" s="162" t="str">
        <f>RefStr!D39</f>
        <v>Zagreb</v>
      </c>
      <c r="V10" s="177" t="s">
        <v>277</v>
      </c>
      <c r="W10" s="162">
        <f>RefStr!C46</f>
        <v>0</v>
      </c>
      <c r="X10" s="177" t="s">
        <v>135</v>
      </c>
      <c r="Y10" s="162">
        <f>RefStr!B66</f>
        <v>0</v>
      </c>
      <c r="Z10" s="187" t="s">
        <v>1160</v>
      </c>
      <c r="AA10" s="187" t="str">
        <f>RefStr!I64</f>
        <v>DA</v>
      </c>
    </row>
    <row r="11" spans="1:27" ht="13.5" customHeight="1">
      <c r="A11" s="513" t="s">
        <v>2481</v>
      </c>
      <c r="B11" s="514"/>
      <c r="C11" s="514"/>
      <c r="D11" s="514"/>
      <c r="E11" s="514"/>
      <c r="F11" s="514"/>
      <c r="G11" s="514"/>
      <c r="H11" s="514"/>
      <c r="I11" s="514"/>
      <c r="J11" s="515"/>
      <c r="L11" s="156"/>
      <c r="M11" s="156"/>
      <c r="N11" s="163"/>
      <c r="O11" s="174"/>
      <c r="P11" s="174"/>
      <c r="Q11" s="174"/>
      <c r="R11" s="178" t="s">
        <v>2759</v>
      </c>
      <c r="S11" s="175" t="str">
        <f>RefStr!N19</f>
        <v>MSFI</v>
      </c>
      <c r="T11" s="178" t="s">
        <v>2347</v>
      </c>
      <c r="U11" s="175" t="str">
        <f>RefStr!C29</f>
        <v>Croatia banka d.d.</v>
      </c>
      <c r="V11" s="178" t="s">
        <v>278</v>
      </c>
      <c r="W11" s="175">
        <f>RefStr!D46</f>
      </c>
      <c r="X11" s="178" t="s">
        <v>137</v>
      </c>
      <c r="Y11" s="175" t="str">
        <f>RefStr!A75</f>
        <v>Mladen Duliba</v>
      </c>
      <c r="Z11" s="187" t="s">
        <v>1161</v>
      </c>
      <c r="AA11" s="187" t="str">
        <f>RefStr!I66</f>
        <v>DA</v>
      </c>
    </row>
    <row r="12" spans="1:15" ht="19.5" customHeight="1">
      <c r="A12" s="181">
        <v>1</v>
      </c>
      <c r="B12" s="183" t="str">
        <f aca="true" t="shared" si="0" ref="B12:B32">IF(L12=1,"Pogreška",IF(M12=1,"Provjera","OK"))</f>
        <v>OK</v>
      </c>
      <c r="C12" s="510" t="s">
        <v>2504</v>
      </c>
      <c r="D12" s="510"/>
      <c r="E12" s="510"/>
      <c r="F12" s="510"/>
      <c r="G12" s="510"/>
      <c r="H12" s="510"/>
      <c r="I12" s="510"/>
      <c r="J12" s="510"/>
      <c r="L12" s="156">
        <f aca="true" t="shared" si="1" ref="L12:L18">MAX(N12:R12)</f>
        <v>0</v>
      </c>
      <c r="M12" s="156"/>
      <c r="N12" s="159">
        <f>IF(OR(S8=0,S9=0,S8&gt;=S9),1,0)</f>
        <v>0</v>
      </c>
      <c r="O12" s="159">
        <f>IF(AND(S9-S8&gt;366,OR(S2&lt;&gt;30,S5=1)),1,0)</f>
        <v>0</v>
      </c>
    </row>
    <row r="13" spans="1:15" ht="19.5" customHeight="1">
      <c r="A13" s="181">
        <f aca="true" t="shared" si="2" ref="A13:A32">A12+1</f>
        <v>2</v>
      </c>
      <c r="B13" s="183" t="str">
        <f t="shared" si="0"/>
        <v>OK</v>
      </c>
      <c r="C13" s="510" t="s">
        <v>728</v>
      </c>
      <c r="D13" s="510"/>
      <c r="E13" s="510"/>
      <c r="F13" s="510"/>
      <c r="G13" s="510"/>
      <c r="H13" s="510"/>
      <c r="I13" s="510"/>
      <c r="J13" s="510"/>
      <c r="L13" s="156">
        <f t="shared" si="1"/>
        <v>0</v>
      </c>
      <c r="M13" s="156"/>
      <c r="N13" s="156">
        <f>IF(AND(S2&lt;&gt;10,S2&lt;&gt;11,S2&lt;&gt;20,S2&lt;&gt;21,S2&lt;&gt;30,S2&lt;&gt;31,S2&lt;&gt;40,S2&lt;&gt;50),1,0)</f>
        <v>0</v>
      </c>
      <c r="O13" s="156"/>
    </row>
    <row r="14" spans="1:15" ht="38.25" customHeight="1">
      <c r="A14" s="181">
        <f t="shared" si="2"/>
        <v>3</v>
      </c>
      <c r="B14" s="183" t="str">
        <f>IF(L14=1,"Pogreška",IF(M14=1,"Provjera","OK"))</f>
        <v>OK</v>
      </c>
      <c r="C14" s="510" t="s">
        <v>978</v>
      </c>
      <c r="D14" s="510"/>
      <c r="E14" s="510"/>
      <c r="F14" s="510"/>
      <c r="G14" s="510"/>
      <c r="H14" s="510"/>
      <c r="I14" s="510"/>
      <c r="J14" s="510"/>
      <c r="L14" s="156">
        <f t="shared" si="1"/>
        <v>0</v>
      </c>
      <c r="M14" s="156"/>
      <c r="N14" s="156">
        <f>IF(AND(S6&lt;&gt;"DA",S6&lt;&gt;"NE"),1,0)</f>
        <v>0</v>
      </c>
      <c r="O14" s="156">
        <f>IF(AND(S6="DA",S5&lt;&gt;2),1,0)</f>
        <v>0</v>
      </c>
    </row>
    <row r="15" spans="1:15" ht="27" customHeight="1">
      <c r="A15" s="181">
        <f t="shared" si="2"/>
        <v>4</v>
      </c>
      <c r="B15" s="183" t="str">
        <f t="shared" si="0"/>
        <v>OK</v>
      </c>
      <c r="C15" s="510" t="s">
        <v>803</v>
      </c>
      <c r="D15" s="510"/>
      <c r="E15" s="510"/>
      <c r="F15" s="510"/>
      <c r="G15" s="510"/>
      <c r="H15" s="510"/>
      <c r="I15" s="510"/>
      <c r="J15" s="510"/>
      <c r="L15" s="156">
        <f t="shared" si="1"/>
        <v>0</v>
      </c>
      <c r="M15" s="156"/>
      <c r="N15" s="156">
        <f>IF(AND(S5&lt;&gt;1,S5&lt;&gt;2,S5&lt;&gt;3),1,0)</f>
        <v>0</v>
      </c>
      <c r="O15" s="156">
        <f>IF(AND(S5&gt;1,U7&gt;6,U7&lt;&gt;12),1,0)</f>
        <v>0</v>
      </c>
    </row>
    <row r="16" spans="1:15" ht="27" customHeight="1">
      <c r="A16" s="181">
        <f t="shared" si="2"/>
        <v>5</v>
      </c>
      <c r="B16" s="183" t="str">
        <f t="shared" si="0"/>
        <v>OK</v>
      </c>
      <c r="C16" s="510" t="s">
        <v>881</v>
      </c>
      <c r="D16" s="510"/>
      <c r="E16" s="510"/>
      <c r="F16" s="510"/>
      <c r="G16" s="510"/>
      <c r="H16" s="510"/>
      <c r="I16" s="510"/>
      <c r="J16" s="510"/>
      <c r="L16" s="156">
        <f t="shared" si="1"/>
        <v>0</v>
      </c>
      <c r="M16" s="156"/>
      <c r="N16" s="156">
        <f>IF(AND(S10&lt;&gt;1,S10&lt;&gt;2,S10&lt;&gt;3,S10&lt;&gt;4),1,0)</f>
        <v>0</v>
      </c>
      <c r="O16" s="156"/>
    </row>
    <row r="17" spans="1:17" ht="43.5" customHeight="1">
      <c r="A17" s="181">
        <f t="shared" si="2"/>
        <v>6</v>
      </c>
      <c r="B17" s="183" t="str">
        <f t="shared" si="0"/>
        <v>OK</v>
      </c>
      <c r="C17" s="510" t="s">
        <v>1462</v>
      </c>
      <c r="D17" s="510"/>
      <c r="E17" s="510"/>
      <c r="F17" s="510"/>
      <c r="G17" s="510"/>
      <c r="H17" s="510"/>
      <c r="I17" s="510"/>
      <c r="J17" s="510"/>
      <c r="L17" s="156">
        <f t="shared" si="1"/>
        <v>0</v>
      </c>
      <c r="M17" s="156"/>
      <c r="N17" s="156">
        <f>IF(AND(U2&lt;&gt;"DA",U2&lt;&gt;"NE"),1,0)</f>
        <v>0</v>
      </c>
      <c r="O17" s="156">
        <f>IF(AND(U2="NE",AND(U3&lt;&gt;"",U3&lt;&gt;0)),1,0)</f>
        <v>0</v>
      </c>
      <c r="P17" s="159">
        <f>IF(AND(U2="DA",OR(U3="",U3=0)),1,0)</f>
        <v>0</v>
      </c>
      <c r="Q17" s="159">
        <f>IF(AND(S5=1,U2="DA"),1,0)</f>
        <v>0</v>
      </c>
    </row>
    <row r="18" spans="1:16" ht="19.5" customHeight="1">
      <c r="A18" s="181">
        <f t="shared" si="2"/>
        <v>7</v>
      </c>
      <c r="B18" s="183" t="str">
        <f t="shared" si="0"/>
        <v>OK</v>
      </c>
      <c r="C18" s="510" t="s">
        <v>2482</v>
      </c>
      <c r="D18" s="510"/>
      <c r="E18" s="510"/>
      <c r="F18" s="510"/>
      <c r="G18" s="510"/>
      <c r="H18" s="510"/>
      <c r="I18" s="510"/>
      <c r="J18" s="510"/>
      <c r="L18" s="156">
        <f t="shared" si="1"/>
        <v>0</v>
      </c>
      <c r="M18" s="156"/>
      <c r="N18" s="156">
        <f>IF(ISNUMBER(VALUE(U4)),0,1)</f>
        <v>0</v>
      </c>
      <c r="O18" s="156">
        <f>IF(U4=0,1,0)</f>
        <v>0</v>
      </c>
      <c r="P18" s="159">
        <f>IF(LEN(U4)&gt;11,1,0)</f>
        <v>0</v>
      </c>
    </row>
    <row r="19" spans="1:19" ht="41.25" customHeight="1">
      <c r="A19" s="181">
        <f t="shared" si="2"/>
        <v>8</v>
      </c>
      <c r="B19" s="183" t="str">
        <f t="shared" si="0"/>
        <v>OK</v>
      </c>
      <c r="C19" s="510" t="s">
        <v>863</v>
      </c>
      <c r="D19" s="510"/>
      <c r="E19" s="510"/>
      <c r="F19" s="510"/>
      <c r="G19" s="510"/>
      <c r="H19" s="510"/>
      <c r="I19" s="510"/>
      <c r="J19" s="510"/>
      <c r="L19" s="156">
        <f>MAX(N19:S19)</f>
        <v>0</v>
      </c>
      <c r="M19" s="156"/>
      <c r="N19" s="156">
        <f>IF(AND(INT(VALUE(U5))&lt;123455,U7&lt;&gt;16),1,0)</f>
        <v>0</v>
      </c>
      <c r="O19" s="156">
        <f>IF(AND(INT(VALUE(U5))&gt;0,U7=16),1,0)</f>
        <v>0</v>
      </c>
      <c r="P19" s="159">
        <f>IF(AND(OR(INT(VALUE(U5))&lt;50000000,INT(VALUE(U5))&gt;59999999),U7=15),1,0)</f>
        <v>0</v>
      </c>
      <c r="Q19" s="159">
        <f>IF(AND(OR(INT(VALUE(U5))&lt;80000000,INT(VALUE(U5))&gt;89999999),U7=14),1,0)</f>
        <v>0</v>
      </c>
      <c r="R19" s="159">
        <f>IF(AND(OR(INT(VALUE(U5))&lt;90000000,INT(VALUE(U5))&gt;99999999),U7=13),1,0)</f>
        <v>0</v>
      </c>
      <c r="S19" s="159">
        <f>IF(AND(U7&lt;&gt;13,U7&lt;&gt;14,U7&lt;&gt;15,U7&lt;&gt;16,INT(VALUE(U5)&gt;10000000)),1,0)</f>
        <v>0</v>
      </c>
    </row>
    <row r="20" spans="1:17" ht="27" customHeight="1">
      <c r="A20" s="181">
        <f t="shared" si="2"/>
        <v>9</v>
      </c>
      <c r="B20" s="183" t="str">
        <f t="shared" si="0"/>
        <v>OK</v>
      </c>
      <c r="C20" s="510" t="s">
        <v>2754</v>
      </c>
      <c r="D20" s="510"/>
      <c r="E20" s="510"/>
      <c r="F20" s="510"/>
      <c r="G20" s="510"/>
      <c r="H20" s="510"/>
      <c r="I20" s="510"/>
      <c r="J20" s="510"/>
      <c r="L20" s="156">
        <f>MAX(N20:R20)</f>
        <v>0</v>
      </c>
      <c r="M20" s="156"/>
      <c r="N20" s="156">
        <f>IF(ISNUMBER(VALUE(U6)),0,1)</f>
        <v>0</v>
      </c>
      <c r="O20" s="156">
        <f>IF(AND(U6=0,U7&lt;13),1,0)</f>
        <v>0</v>
      </c>
      <c r="P20" s="159">
        <f>IF(LEN(U6)&gt;9,1,0)</f>
        <v>0</v>
      </c>
      <c r="Q20" s="159">
        <f>IF(AND(U7&gt;12,U6&gt;0),1,0)</f>
        <v>0</v>
      </c>
    </row>
    <row r="21" spans="1:15" ht="19.5" customHeight="1">
      <c r="A21" s="181">
        <f t="shared" si="2"/>
        <v>10</v>
      </c>
      <c r="B21" s="183" t="str">
        <f t="shared" si="0"/>
        <v>OK</v>
      </c>
      <c r="C21" s="510" t="s">
        <v>2755</v>
      </c>
      <c r="D21" s="510"/>
      <c r="E21" s="510"/>
      <c r="F21" s="510"/>
      <c r="G21" s="510"/>
      <c r="H21" s="510"/>
      <c r="I21" s="510"/>
      <c r="J21" s="510"/>
      <c r="L21" s="156">
        <f>MAX(N21:R21)</f>
        <v>0</v>
      </c>
      <c r="M21" s="156"/>
      <c r="N21" s="156">
        <f>IF(OR(LEN(U11)&lt;3,U11=0),1,0)</f>
        <v>0</v>
      </c>
      <c r="O21" s="156"/>
    </row>
    <row r="22" spans="1:17" ht="27" customHeight="1">
      <c r="A22" s="181">
        <f t="shared" si="2"/>
        <v>11</v>
      </c>
      <c r="B22" s="183" t="str">
        <f t="shared" si="0"/>
        <v>OK</v>
      </c>
      <c r="C22" s="510" t="s">
        <v>2756</v>
      </c>
      <c r="D22" s="510"/>
      <c r="E22" s="510"/>
      <c r="F22" s="510"/>
      <c r="G22" s="510"/>
      <c r="H22" s="510"/>
      <c r="I22" s="510"/>
      <c r="J22" s="510"/>
      <c r="L22" s="156">
        <f>MAX(N22:R22)</f>
        <v>0</v>
      </c>
      <c r="M22" s="156"/>
      <c r="N22" s="156">
        <f>IF(OR(W2=0,W3=0),1,0)</f>
        <v>0</v>
      </c>
      <c r="O22" s="156">
        <f>IF(LEN(W3)&lt;2,1,0)</f>
        <v>0</v>
      </c>
      <c r="P22" s="159">
        <f>IF(OR(W2&lt;10000,W2&gt;54000),1,0)</f>
        <v>0</v>
      </c>
      <c r="Q22" s="159">
        <f>IF(OR(MID(W3,1,1)="1",MID(W3,1,1)="2",MID(W3,1,1)="3",MID(W3,1,1)="4",MID(W3,1,1)="5"),1,0)</f>
        <v>0</v>
      </c>
    </row>
    <row r="23" spans="1:16" ht="19.5" customHeight="1">
      <c r="A23" s="181">
        <f t="shared" si="2"/>
        <v>12</v>
      </c>
      <c r="B23" s="183" t="str">
        <f t="shared" si="0"/>
        <v>OK</v>
      </c>
      <c r="C23" s="510" t="s">
        <v>2760</v>
      </c>
      <c r="D23" s="510"/>
      <c r="E23" s="510"/>
      <c r="F23" s="510"/>
      <c r="G23" s="510"/>
      <c r="H23" s="510"/>
      <c r="I23" s="510"/>
      <c r="J23" s="510"/>
      <c r="L23" s="156">
        <f>MAX(N23:R23)</f>
        <v>0</v>
      </c>
      <c r="M23" s="156"/>
      <c r="N23" s="156">
        <f>IF(OR(W4=0,W5=0),1,0)</f>
        <v>0</v>
      </c>
      <c r="O23" s="156">
        <f>IF(LEN(W4)&lt;4,1,0)</f>
        <v>0</v>
      </c>
      <c r="P23" s="159">
        <f>IF(LEN(W5)&lt;6,1,0)</f>
        <v>0</v>
      </c>
    </row>
    <row r="24" spans="1:60" ht="27" customHeight="1">
      <c r="A24" s="181">
        <f t="shared" si="2"/>
        <v>13</v>
      </c>
      <c r="B24" s="183" t="str">
        <f t="shared" si="0"/>
        <v>OK</v>
      </c>
      <c r="C24" s="510" t="s">
        <v>1050</v>
      </c>
      <c r="D24" s="510"/>
      <c r="E24" s="510"/>
      <c r="F24" s="510"/>
      <c r="G24" s="510"/>
      <c r="H24" s="510"/>
      <c r="I24" s="510"/>
      <c r="J24" s="510"/>
      <c r="L24" s="156">
        <f>MAX(N24:BH24)</f>
        <v>0</v>
      </c>
      <c r="M24" s="156"/>
      <c r="N24" s="179">
        <f>IF(LEN(W6)&lt;6,1,0)</f>
        <v>0</v>
      </c>
      <c r="O24" s="179">
        <f>IF(ISERROR(FIND("@",W6,1)),1,0)</f>
        <v>0</v>
      </c>
      <c r="P24" s="179">
        <f>IF(ISERROR(FIND("@",W6,1)),1,0)</f>
        <v>0</v>
      </c>
      <c r="Q24" s="179">
        <f>IF(ISERROR(FIND(".",W6,1)),1,0)</f>
        <v>0</v>
      </c>
      <c r="R24" s="179">
        <f>IF(ISERROR(FIND(".",W6,1)),1,0)</f>
        <v>0</v>
      </c>
      <c r="S24" s="179">
        <f>IF(ISERROR(FIND("Č",W6,1)),0,1)</f>
        <v>0</v>
      </c>
      <c r="T24" s="179">
        <f>IF(ISERROR(FIND("Č",W6,1)),0,1)</f>
        <v>0</v>
      </c>
      <c r="U24" s="179">
        <f>IF(ISERROR(FIND("Ć",W6,1)),0,1)</f>
        <v>0</v>
      </c>
      <c r="V24" s="179">
        <f>IF(ISERROR(FIND("Ć",W6,1)),0,1)</f>
        <v>0</v>
      </c>
      <c r="W24" s="179">
        <f>IF(ISERROR(FIND("Š",W6,1)),0,1)</f>
        <v>0</v>
      </c>
      <c r="X24" s="179">
        <f>IF(ISERROR(FIND("Š",W6,1)),0,1)</f>
        <v>0</v>
      </c>
      <c r="Y24" s="179">
        <f>IF(ISERROR(FIND("Ž",W6,1)),0,1)</f>
        <v>0</v>
      </c>
      <c r="Z24" s="179">
        <f>IF(ISERROR(FIND("Ž",W6,1)),0,1)</f>
        <v>0</v>
      </c>
      <c r="AA24" s="179">
        <f>IF(ISERROR(FIND("Đ",W6,1)),0,1)</f>
        <v>0</v>
      </c>
      <c r="AB24" s="179">
        <f>IF(ISERROR(FIND("Đ",W6,1)),0,1)</f>
        <v>0</v>
      </c>
      <c r="AC24" s="3">
        <f>IF(ISERROR(FIND("""",W6,1)),0,1)</f>
        <v>0</v>
      </c>
      <c r="AD24" s="3">
        <f>IF(ISERROR(FIND("""",W6,1)),0,1)</f>
        <v>0</v>
      </c>
      <c r="AE24" s="3">
        <f>IF(ISERROR(FIND(",",W6,1)),0,1)</f>
        <v>0</v>
      </c>
      <c r="AF24" s="3">
        <f>IF(ISERROR(FIND(",",W6,1)),0,1)</f>
        <v>0</v>
      </c>
      <c r="AG24" s="3">
        <f>IF(ISERROR(FIND(";",W6,1)),0,1)</f>
        <v>0</v>
      </c>
      <c r="AH24" s="3">
        <f>IF(ISERROR(FIND(";",W6,1)),0,1)</f>
        <v>0</v>
      </c>
      <c r="AI24" s="3">
        <f>IF(ISERROR(FIND(":",$W6,1)),0,1)</f>
        <v>0</v>
      </c>
      <c r="AJ24" s="3">
        <f>IF(ISERROR(FIND(":",$W6,1)),0,1)</f>
        <v>0</v>
      </c>
      <c r="AK24" s="3">
        <f>IF(ISERROR(FIND("?",$W6,1)),0,1)</f>
        <v>0</v>
      </c>
      <c r="AL24" s="3">
        <f>IF(ISERROR(FIND("?",$W6,1)),0,1)</f>
        <v>0</v>
      </c>
      <c r="AM24" s="3">
        <f>IF(ISERROR(FIND("!",$W6,1)),0,1)</f>
        <v>0</v>
      </c>
      <c r="AN24" s="3">
        <f>IF(ISERROR(FIND("!",$W6,1)),0,1)</f>
        <v>0</v>
      </c>
      <c r="AO24" s="3">
        <f>IF(ISERROR(FIND("#",$W6,1)),0,1)</f>
        <v>0</v>
      </c>
      <c r="AP24" s="3">
        <f>IF(ISERROR(FIND("#",$W6,1)),0,1)</f>
        <v>0</v>
      </c>
      <c r="AQ24" s="3">
        <f>IF(ISERROR(FIND("$",$W6,1)),0,1)</f>
        <v>0</v>
      </c>
      <c r="AR24" s="3">
        <f>IF(ISERROR(FIND("$",$W6,1)),0,1)</f>
        <v>0</v>
      </c>
      <c r="AS24" s="3">
        <f>IF(ISERROR(FIND("%",$W6,1)),0,1)</f>
        <v>0</v>
      </c>
      <c r="AT24" s="3">
        <f>IF(ISERROR(FIND("%",$W6,1)),0,1)</f>
        <v>0</v>
      </c>
      <c r="AU24" s="3">
        <f>IF(ISERROR(FIND("&amp;",$W6,1)),0,1)</f>
        <v>0</v>
      </c>
      <c r="AV24" s="3">
        <f>IF(ISERROR(FIND("&amp;",$W6,1)),0,1)</f>
        <v>0</v>
      </c>
      <c r="AW24" s="3">
        <f>IF(ISERROR(FIND("/",$W6,1)),0,1)</f>
        <v>0</v>
      </c>
      <c r="AX24" s="3">
        <f>IF(ISERROR(FIND("/",$W6,1)),0,1)</f>
        <v>0</v>
      </c>
      <c r="AY24" s="3">
        <f>IF(ISERROR(FIND("=",$W6,1)),0,1)</f>
        <v>0</v>
      </c>
      <c r="AZ24" s="3">
        <f>IF(ISERROR(FIND("=",$W6,1)),0,1)</f>
        <v>0</v>
      </c>
      <c r="BA24" s="3">
        <f>IF(ISERROR(FIND("(",$W6,1)),0,1)</f>
        <v>0</v>
      </c>
      <c r="BB24" s="3">
        <f>IF(ISERROR(FIND("(",$W6,1)),0,1)</f>
        <v>0</v>
      </c>
      <c r="BC24" s="3">
        <f>IF(ISERROR(FIND(")",$W6,1)),0,1)</f>
        <v>0</v>
      </c>
      <c r="BD24" s="3">
        <f>IF(ISERROR(FIND(")",$W6,1)),0,1)</f>
        <v>0</v>
      </c>
      <c r="BE24" s="3">
        <f>IF(ISERROR(FIND(" ",$W6,1)),0,1)</f>
        <v>0</v>
      </c>
      <c r="BF24" s="3">
        <f>IF(ISERROR(FIND(" ",$W6,1)),0,1)</f>
        <v>0</v>
      </c>
      <c r="BG24" s="3">
        <f>IF(RIGHT(W6,1)=".",1,0)</f>
        <v>0</v>
      </c>
      <c r="BH24" s="3">
        <f>IF(RIGHT(W6,1)=".",1,0)</f>
        <v>0</v>
      </c>
    </row>
    <row r="25" spans="1:15" ht="19.5" customHeight="1">
      <c r="A25" s="181">
        <f t="shared" si="2"/>
        <v>14</v>
      </c>
      <c r="B25" s="183" t="str">
        <f t="shared" si="0"/>
        <v>OK</v>
      </c>
      <c r="C25" s="510" t="s">
        <v>781</v>
      </c>
      <c r="D25" s="510"/>
      <c r="E25" s="510"/>
      <c r="F25" s="510"/>
      <c r="G25" s="510"/>
      <c r="H25" s="510"/>
      <c r="I25" s="510"/>
      <c r="J25" s="510"/>
      <c r="L25" s="156">
        <f>MAX(N25:R25)</f>
        <v>0</v>
      </c>
      <c r="M25" s="156"/>
      <c r="N25" s="156">
        <f>IF(OR(U9&lt;1,U9&gt;631),1,0)</f>
        <v>0</v>
      </c>
      <c r="O25" s="156">
        <f>IF(U10="Šifra grada/općine ne postoji",1,0)</f>
        <v>0</v>
      </c>
    </row>
    <row r="26" spans="1:15" ht="19.5" customHeight="1">
      <c r="A26" s="181">
        <f t="shared" si="2"/>
        <v>15</v>
      </c>
      <c r="B26" s="183" t="str">
        <f t="shared" si="0"/>
        <v>OK</v>
      </c>
      <c r="C26" s="510" t="s">
        <v>647</v>
      </c>
      <c r="D26" s="510"/>
      <c r="E26" s="510"/>
      <c r="F26" s="510"/>
      <c r="G26" s="510"/>
      <c r="H26" s="510"/>
      <c r="I26" s="510"/>
      <c r="J26" s="510"/>
      <c r="L26" s="156">
        <f>MAX(N26:R26)</f>
        <v>0</v>
      </c>
      <c r="M26" s="156"/>
      <c r="N26" s="156">
        <f>IF(AND(OR(W7=0,W7=""),U7&lt;&gt;16),1,0)</f>
        <v>0</v>
      </c>
      <c r="O26" s="159">
        <f>IF(W8="Šifra NKD-a ne postoji",1,0)</f>
        <v>0</v>
      </c>
    </row>
    <row r="27" spans="1:15" ht="19.5" customHeight="1">
      <c r="A27" s="181">
        <f t="shared" si="2"/>
        <v>16</v>
      </c>
      <c r="B27" s="183" t="str">
        <f>IF(L27=1,"Pogreška",IF(M27=1,"Provjera","OK"))</f>
        <v>OK</v>
      </c>
      <c r="C27" s="510" t="s">
        <v>2470</v>
      </c>
      <c r="D27" s="510"/>
      <c r="E27" s="510"/>
      <c r="F27" s="510"/>
      <c r="G27" s="510"/>
      <c r="H27" s="510"/>
      <c r="I27" s="510"/>
      <c r="J27" s="510"/>
      <c r="L27" s="156">
        <f>MAX(N27:R27)</f>
        <v>0</v>
      </c>
      <c r="M27" s="156"/>
      <c r="N27" s="156">
        <f>IF(AND(OR(S4=0,S4=""),U8&lt;&gt;16),1,0)</f>
        <v>0</v>
      </c>
      <c r="O27" s="159">
        <f>IF(S4="Nepostojeća oznaka vlasništva",1,0)</f>
        <v>0</v>
      </c>
    </row>
    <row r="28" spans="1:16" ht="27" customHeight="1">
      <c r="A28" s="181">
        <f t="shared" si="2"/>
        <v>17</v>
      </c>
      <c r="B28" s="183" t="str">
        <f>IF(L28=1,"Pogreška",IF(M28=1,"Provjera","OK"))</f>
        <v>OK</v>
      </c>
      <c r="C28" s="510" t="s">
        <v>125</v>
      </c>
      <c r="D28" s="510"/>
      <c r="E28" s="510"/>
      <c r="F28" s="510"/>
      <c r="G28" s="510"/>
      <c r="H28" s="510"/>
      <c r="I28" s="510"/>
      <c r="J28" s="510"/>
      <c r="L28" s="156">
        <f>MAX(N28:R28)</f>
        <v>0</v>
      </c>
      <c r="M28" s="156"/>
      <c r="N28" s="156">
        <f>IF(ISERROR(Y2+Y3),1,IF(Y2+Y3&lt;&gt;100,1,0))</f>
        <v>0</v>
      </c>
      <c r="O28" s="159">
        <f>IF(ISERROR(INT(Y2)),1,IF(ROUND(Y2,0)&lt;&gt;Y2,1,0))</f>
        <v>0</v>
      </c>
      <c r="P28" s="159">
        <f>IF(ISERROR(INT(Y3)),1,IF(ROUND(INT(Y3),0)&lt;&gt;INT(Y3),1,0))</f>
        <v>0</v>
      </c>
    </row>
    <row r="29" spans="1:17" ht="27" customHeight="1">
      <c r="A29" s="181">
        <f t="shared" si="2"/>
        <v>18</v>
      </c>
      <c r="B29" s="183" t="str">
        <f t="shared" si="0"/>
        <v>OK</v>
      </c>
      <c r="C29" s="510" t="s">
        <v>128</v>
      </c>
      <c r="D29" s="510"/>
      <c r="E29" s="510"/>
      <c r="F29" s="510"/>
      <c r="G29" s="510"/>
      <c r="H29" s="510"/>
      <c r="I29" s="510"/>
      <c r="J29" s="510"/>
      <c r="L29" s="156">
        <f>MAX(N29:R29)</f>
        <v>0</v>
      </c>
      <c r="M29" s="156"/>
      <c r="N29" s="156">
        <f>IF(AND(P2&gt;0,Y4=0),1,0)</f>
        <v>0</v>
      </c>
      <c r="O29" s="156">
        <f>IF(Y5=0,1,0)</f>
        <v>0</v>
      </c>
      <c r="P29" s="159">
        <f>IF(OR(Y4&gt;12,AND(Y5&gt;12,Y4&gt;0)),1,0)</f>
        <v>0</v>
      </c>
      <c r="Q29" s="159">
        <f>IF(AND(Y5&gt;12,OR(S5&lt;&gt;2,S2&lt;&gt;30)),1,0)</f>
        <v>0</v>
      </c>
    </row>
    <row r="30" spans="1:61" ht="27" customHeight="1">
      <c r="A30" s="181">
        <f t="shared" si="2"/>
        <v>19</v>
      </c>
      <c r="B30" s="183" t="str">
        <f>IF(L30=1,"Pogreška",IF(M30=1,"Provjera","OK"))</f>
        <v>OK</v>
      </c>
      <c r="C30" s="510" t="s">
        <v>1051</v>
      </c>
      <c r="D30" s="510"/>
      <c r="E30" s="510"/>
      <c r="F30" s="510"/>
      <c r="G30" s="510"/>
      <c r="H30" s="510"/>
      <c r="I30" s="510"/>
      <c r="J30" s="510"/>
      <c r="L30" s="156">
        <f>MAX(N30:BI30)</f>
        <v>0</v>
      </c>
      <c r="M30" s="156"/>
      <c r="N30" s="156">
        <f>IF(OR(LEN(Y6)&lt;5,LEN(Y6)&lt;8,LEN(Y8)&lt;6),1,0)</f>
        <v>0</v>
      </c>
      <c r="O30" s="179">
        <f>IF(LEN(Y8)&lt;6,1,0)</f>
        <v>0</v>
      </c>
      <c r="P30" s="179">
        <f>IF(ISERROR(FIND("@",Y8,1)),1,0)</f>
        <v>0</v>
      </c>
      <c r="Q30" s="179">
        <f>IF(ISERROR(FIND("@",Y8,1)),1,0)</f>
        <v>0</v>
      </c>
      <c r="R30" s="179">
        <f>IF(ISERROR(FIND(".",Y8,1)),1,0)</f>
        <v>0</v>
      </c>
      <c r="S30" s="179">
        <f>IF(ISERROR(FIND(".",Y8,1)),1,0)</f>
        <v>0</v>
      </c>
      <c r="T30" s="179">
        <f>IF(ISERROR(FIND("Č",Y8,1)),0,1)</f>
        <v>0</v>
      </c>
      <c r="U30" s="179">
        <f>IF(ISERROR(FIND("Č",Y8,1)),0,1)</f>
        <v>0</v>
      </c>
      <c r="V30" s="179">
        <f>IF(ISERROR(FIND("Ć",Y8,1)),0,1)</f>
        <v>0</v>
      </c>
      <c r="W30" s="179">
        <f>IF(ISERROR(FIND("Ć",Y8,1)),0,1)</f>
        <v>0</v>
      </c>
      <c r="X30" s="179">
        <f>IF(ISERROR(FIND("Š",Y8,1)),0,1)</f>
        <v>0</v>
      </c>
      <c r="Y30" s="179">
        <f>IF(ISERROR(FIND("Š",Y8,1)),0,1)</f>
        <v>0</v>
      </c>
      <c r="Z30" s="179">
        <f>IF(ISERROR(FIND("Ž",Y8,1)),0,1)</f>
        <v>0</v>
      </c>
      <c r="AA30" s="179">
        <f>IF(ISERROR(FIND("Ž",Y8,1)),0,1)</f>
        <v>0</v>
      </c>
      <c r="AB30" s="179">
        <f>IF(ISERROR(FIND("Đ",Y8,1)),0,1)</f>
        <v>0</v>
      </c>
      <c r="AC30" s="179">
        <f>IF(ISERROR(FIND("Đ",Y8,1)),0,1)</f>
        <v>0</v>
      </c>
      <c r="AD30" s="3">
        <f>IF(ISERROR(FIND("""",Y8,1)),0,1)</f>
        <v>0</v>
      </c>
      <c r="AE30" s="3">
        <f>IF(ISERROR(FIND("""",Y8,1)),0,1)</f>
        <v>0</v>
      </c>
      <c r="AF30" s="3">
        <f>IF(ISERROR(FIND(",",Y8,1)),0,1)</f>
        <v>0</v>
      </c>
      <c r="AG30" s="3">
        <f>IF(ISERROR(FIND(",",Y8,1)),0,1)</f>
        <v>0</v>
      </c>
      <c r="AH30" s="3">
        <f>IF(ISERROR(FIND(";",Y8,1)),0,1)</f>
        <v>0</v>
      </c>
      <c r="AI30" s="3">
        <f>IF(ISERROR(FIND(";",Y8,1)),0,1)</f>
        <v>0</v>
      </c>
      <c r="AJ30" s="3">
        <f>IF(ISERROR(FIND(":",$W16,1)),0,1)</f>
        <v>0</v>
      </c>
      <c r="AK30" s="3">
        <f>IF(ISERROR(FIND(":",$W16,1)),0,1)</f>
        <v>0</v>
      </c>
      <c r="AL30" s="3">
        <f>IF(ISERROR(FIND("?",$W16,1)),0,1)</f>
        <v>0</v>
      </c>
      <c r="AM30" s="3">
        <f>IF(ISERROR(FIND("?",$W16,1)),0,1)</f>
        <v>0</v>
      </c>
      <c r="AN30" s="3">
        <f>IF(ISERROR(FIND("!",$W16,1)),0,1)</f>
        <v>0</v>
      </c>
      <c r="AO30" s="3">
        <f>IF(ISERROR(FIND("!",$W16,1)),0,1)</f>
        <v>0</v>
      </c>
      <c r="AP30" s="3">
        <f>IF(ISERROR(FIND("#",$W16,1)),0,1)</f>
        <v>0</v>
      </c>
      <c r="AQ30" s="3">
        <f>IF(ISERROR(FIND("#",$W16,1)),0,1)</f>
        <v>0</v>
      </c>
      <c r="AR30" s="3">
        <f>IF(ISERROR(FIND("$",$W16,1)),0,1)</f>
        <v>0</v>
      </c>
      <c r="AS30" s="3">
        <f>IF(ISERROR(FIND("$",$W16,1)),0,1)</f>
        <v>0</v>
      </c>
      <c r="AT30" s="3">
        <f>IF(ISERROR(FIND("%",$W16,1)),0,1)</f>
        <v>0</v>
      </c>
      <c r="AU30" s="3">
        <f>IF(ISERROR(FIND("%",$W16,1)),0,1)</f>
        <v>0</v>
      </c>
      <c r="AV30" s="3">
        <f>IF(ISERROR(FIND("&amp;",$W16,1)),0,1)</f>
        <v>0</v>
      </c>
      <c r="AW30" s="3">
        <f>IF(ISERROR(FIND("&amp;",$W16,1)),0,1)</f>
        <v>0</v>
      </c>
      <c r="AX30" s="3">
        <f>IF(ISERROR(FIND("/",$W16,1)),0,1)</f>
        <v>0</v>
      </c>
      <c r="AY30" s="3">
        <f>IF(ISERROR(FIND("/",$W16,1)),0,1)</f>
        <v>0</v>
      </c>
      <c r="AZ30" s="3">
        <f>IF(ISERROR(FIND("=",$W16,1)),0,1)</f>
        <v>0</v>
      </c>
      <c r="BA30" s="3">
        <f>IF(ISERROR(FIND("=",$W16,1)),0,1)</f>
        <v>0</v>
      </c>
      <c r="BB30" s="3">
        <f>IF(ISERROR(FIND("(",$W16,1)),0,1)</f>
        <v>0</v>
      </c>
      <c r="BC30" s="3">
        <f>IF(ISERROR(FIND("(",$W16,1)),0,1)</f>
        <v>0</v>
      </c>
      <c r="BD30" s="3">
        <f>IF(ISERROR(FIND(")",$W16,1)),0,1)</f>
        <v>0</v>
      </c>
      <c r="BE30" s="3">
        <f>IF(ISERROR(FIND(")",$W16,1)),0,1)</f>
        <v>0</v>
      </c>
      <c r="BF30" s="3">
        <f>IF(ISERROR(FIND(" ",$W16,1)),0,1)</f>
        <v>0</v>
      </c>
      <c r="BG30" s="3">
        <f>IF(ISERROR(FIND(" ",$W16,1)),0,1)</f>
        <v>0</v>
      </c>
      <c r="BH30" s="3">
        <f>IF(RIGHT(Y8,1)=".",1,0)</f>
        <v>0</v>
      </c>
      <c r="BI30" s="3">
        <f>IF(RIGHT(Y8,1)=".",1,0)</f>
        <v>0</v>
      </c>
    </row>
    <row r="31" spans="1:16" ht="41.25" customHeight="1">
      <c r="A31" s="181">
        <f t="shared" si="2"/>
        <v>20</v>
      </c>
      <c r="B31" s="183" t="str">
        <f t="shared" si="0"/>
        <v>OK</v>
      </c>
      <c r="C31" s="510" t="s">
        <v>942</v>
      </c>
      <c r="D31" s="510"/>
      <c r="E31" s="510"/>
      <c r="F31" s="510"/>
      <c r="G31" s="510"/>
      <c r="H31" s="510"/>
      <c r="I31" s="510"/>
      <c r="J31" s="510"/>
      <c r="L31" s="156">
        <f>MAX(N31:Q31)</f>
        <v>0</v>
      </c>
      <c r="M31" s="156"/>
      <c r="N31" s="156">
        <f>IF(OR(AND(AA2="",AA3&lt;&gt;""),AND(AA2&lt;&gt;"",AA3="")),1,0)</f>
        <v>0</v>
      </c>
      <c r="O31" s="159">
        <f>IF(AND(RefStr!H27=RefStr!B64,RefStr!H27&lt;&gt;""),1,0)</f>
        <v>0</v>
      </c>
      <c r="P31" s="159">
        <f>IF(AND(AA2&lt;&gt;"",Y8=W6),1,0)</f>
        <v>0</v>
      </c>
    </row>
    <row r="32" spans="1:15" ht="19.5" customHeight="1">
      <c r="A32" s="181">
        <f t="shared" si="2"/>
        <v>21</v>
      </c>
      <c r="B32" s="183" t="str">
        <f t="shared" si="0"/>
        <v>OK</v>
      </c>
      <c r="C32" s="510" t="s">
        <v>943</v>
      </c>
      <c r="D32" s="510"/>
      <c r="E32" s="510"/>
      <c r="F32" s="510"/>
      <c r="G32" s="510"/>
      <c r="H32" s="510"/>
      <c r="I32" s="510"/>
      <c r="J32" s="510"/>
      <c r="L32" s="156">
        <f aca="true" t="shared" si="3" ref="L32:L39">MAX(N32:R32)</f>
        <v>0</v>
      </c>
      <c r="M32" s="156"/>
      <c r="N32" s="156">
        <f>IF(LEN(AA4)&lt;5,1,0)</f>
        <v>0</v>
      </c>
      <c r="O32" s="156"/>
    </row>
    <row r="33" spans="1:16" ht="19.5" customHeight="1">
      <c r="A33" s="516" t="s">
        <v>2617</v>
      </c>
      <c r="B33" s="517"/>
      <c r="C33" s="517"/>
      <c r="D33" s="517"/>
      <c r="E33" s="517"/>
      <c r="F33" s="517"/>
      <c r="G33" s="517"/>
      <c r="H33" s="517"/>
      <c r="I33" s="517"/>
      <c r="J33" s="518"/>
      <c r="L33" s="156">
        <f t="shared" si="3"/>
        <v>0</v>
      </c>
      <c r="M33" s="156"/>
      <c r="N33" s="156"/>
      <c r="O33" s="156"/>
      <c r="P33" s="156"/>
    </row>
    <row r="34" spans="1:17" ht="27" customHeight="1">
      <c r="A34" s="181">
        <f>A32+1</f>
        <v>22</v>
      </c>
      <c r="B34" s="183" t="str">
        <f aca="true" t="shared" si="4" ref="B34:B42">IF(L34=1,"Pogreška",IF(M34=1,"Provjera","OK"))</f>
        <v>OK</v>
      </c>
      <c r="C34" s="510" t="s">
        <v>749</v>
      </c>
      <c r="D34" s="510"/>
      <c r="E34" s="510"/>
      <c r="F34" s="510"/>
      <c r="G34" s="510"/>
      <c r="H34" s="510"/>
      <c r="I34" s="510"/>
      <c r="J34" s="510"/>
      <c r="L34" s="156">
        <f t="shared" si="3"/>
        <v>0</v>
      </c>
      <c r="M34" s="156"/>
      <c r="N34" s="156">
        <f>IF(ABS(Bilanca!I25-Bilanca!I53)&gt;1,1,0)</f>
        <v>0</v>
      </c>
      <c r="O34" s="156">
        <f>IF(ABS(Bilanca!J25-Bilanca!J53)&gt;1,1,0)</f>
        <v>0</v>
      </c>
      <c r="P34" s="159">
        <f>IF(AND(Bilanca!I25=0,P8&gt;0),1,0)</f>
        <v>0</v>
      </c>
      <c r="Q34" s="159">
        <f>IF(AND(Bilanca!J25=0,Q8&gt;0),1,0)</f>
        <v>0</v>
      </c>
    </row>
    <row r="35" spans="1:15" ht="41.25" customHeight="1">
      <c r="A35" s="181">
        <f>A34+1</f>
        <v>23</v>
      </c>
      <c r="B35" s="183" t="str">
        <f t="shared" si="4"/>
        <v>OK</v>
      </c>
      <c r="C35" s="510" t="s">
        <v>334</v>
      </c>
      <c r="D35" s="510"/>
      <c r="E35" s="510"/>
      <c r="F35" s="510"/>
      <c r="G35" s="510"/>
      <c r="H35" s="510"/>
      <c r="I35" s="510"/>
      <c r="J35" s="510"/>
      <c r="L35" s="156">
        <f t="shared" si="3"/>
        <v>0</v>
      </c>
      <c r="M35" s="156"/>
      <c r="N35" s="156">
        <f>IF(AND(ABS(Bilanca!I47-RDG!I31)&gt;1,S6&lt;&gt;"DA"),1,0)</f>
        <v>0</v>
      </c>
      <c r="O35" s="156">
        <f>IF(AND(ABS(Bilanca!J47-RDG!J31)&gt;1,S6&lt;&gt;"DA"),1,0)</f>
        <v>0</v>
      </c>
    </row>
    <row r="36" spans="1:20" ht="48" customHeight="1">
      <c r="A36" s="181">
        <f>A35+1</f>
        <v>24</v>
      </c>
      <c r="B36" s="183" t="str">
        <f t="shared" si="4"/>
        <v>OK</v>
      </c>
      <c r="C36" s="510" t="s">
        <v>750</v>
      </c>
      <c r="D36" s="510"/>
      <c r="E36" s="510"/>
      <c r="F36" s="510"/>
      <c r="G36" s="510"/>
      <c r="H36" s="510"/>
      <c r="I36" s="510"/>
      <c r="J36" s="510"/>
      <c r="L36" s="156">
        <f t="shared" si="3"/>
        <v>0</v>
      </c>
      <c r="M36" s="156">
        <f>MAX(S36:V36)</f>
        <v>0</v>
      </c>
      <c r="N36" s="156">
        <f>IF(AND(S6&lt;&gt;"DA",OR(Bilanca!Q5&lt;&gt;0,Bilanca!Q6&lt;&gt;0)),1,0)</f>
        <v>0</v>
      </c>
      <c r="O36" s="156"/>
      <c r="P36" s="156"/>
      <c r="S36" s="159">
        <f>IF(AND(S6="DA",AND(Bilanca!IQ5=0,P8&gt;0)),1,0)</f>
        <v>0</v>
      </c>
      <c r="T36" s="159">
        <f>IF(AND(S6="DA",AND(Bilanca!Q6=0,Q8&gt;0)),1,0)</f>
        <v>0</v>
      </c>
    </row>
    <row r="37" spans="1:20" ht="48" customHeight="1">
      <c r="A37" s="181">
        <f>A36+1</f>
        <v>25</v>
      </c>
      <c r="B37" s="183" t="str">
        <f t="shared" si="4"/>
        <v>OK</v>
      </c>
      <c r="C37" s="510" t="s">
        <v>751</v>
      </c>
      <c r="D37" s="510"/>
      <c r="E37" s="510"/>
      <c r="F37" s="510"/>
      <c r="G37" s="510"/>
      <c r="H37" s="510"/>
      <c r="I37" s="510"/>
      <c r="J37" s="510"/>
      <c r="L37" s="156">
        <f t="shared" si="3"/>
        <v>0</v>
      </c>
      <c r="M37" s="156">
        <f>MAX(S37:W37)</f>
        <v>0</v>
      </c>
      <c r="N37" s="156">
        <f>IF(AND(S6&lt;&gt;"DA",OR(RDG!Q5&lt;&gt;0,RDG!Q6&lt;&gt;0)),1,0)</f>
        <v>0</v>
      </c>
      <c r="O37" s="156"/>
      <c r="S37" s="159">
        <f>IF(AND(S6="DA",AND(RDG!IQ5=0,P8&gt;0)),1,0)</f>
        <v>0</v>
      </c>
      <c r="T37" s="159">
        <f>IF(AND(S6="DA",AND(RDG!Q6=0,Q8&gt;0)),1,0)</f>
        <v>0</v>
      </c>
    </row>
    <row r="38" spans="1:15" ht="49.5" customHeight="1">
      <c r="A38" s="181">
        <f>A37+1</f>
        <v>26</v>
      </c>
      <c r="B38" s="183" t="str">
        <f t="shared" si="4"/>
        <v>OK</v>
      </c>
      <c r="C38" s="510" t="s">
        <v>1148</v>
      </c>
      <c r="D38" s="510"/>
      <c r="E38" s="510"/>
      <c r="F38" s="510"/>
      <c r="G38" s="510"/>
      <c r="H38" s="510"/>
      <c r="I38" s="510"/>
      <c r="J38" s="510"/>
      <c r="L38" s="156">
        <f t="shared" si="3"/>
        <v>0</v>
      </c>
      <c r="M38" s="156"/>
      <c r="N38" s="156">
        <f>IF(AND(S5&gt;1,OR(S2=10,S2=11),U2&lt;&gt;"DA"),1,0)</f>
        <v>0</v>
      </c>
      <c r="O38" s="156">
        <f>IF(AND(S5=1,U2="DA"),1,0)</f>
        <v>0</v>
      </c>
    </row>
    <row r="39" spans="1:15" ht="27" customHeight="1">
      <c r="A39" s="181">
        <f aca="true" t="shared" si="5" ref="A39:A46">A38+1</f>
        <v>27</v>
      </c>
      <c r="B39" s="183" t="str">
        <f t="shared" si="4"/>
        <v>OK</v>
      </c>
      <c r="C39" s="510" t="s">
        <v>2483</v>
      </c>
      <c r="D39" s="510"/>
      <c r="E39" s="510"/>
      <c r="F39" s="510"/>
      <c r="G39" s="510"/>
      <c r="H39" s="510"/>
      <c r="I39" s="510"/>
      <c r="J39" s="510"/>
      <c r="L39" s="156">
        <f t="shared" si="3"/>
        <v>0</v>
      </c>
      <c r="M39" s="156"/>
      <c r="N39" s="156">
        <f>IF(AND(S6="DA",AND(S2&lt;&gt;10,S2&lt;&gt;11,S2&lt;&gt;20,S2&lt;&gt;30)),1,0)</f>
        <v>0</v>
      </c>
      <c r="O39" s="156">
        <f>IF(AND(S5&lt;&gt;2,S6="DA"),1,0)</f>
        <v>0</v>
      </c>
    </row>
    <row r="40" spans="1:19" ht="19.5" customHeight="1">
      <c r="A40" s="181">
        <f t="shared" si="5"/>
        <v>28</v>
      </c>
      <c r="B40" s="183" t="str">
        <f t="shared" si="4"/>
        <v>OK</v>
      </c>
      <c r="C40" s="510" t="s">
        <v>754</v>
      </c>
      <c r="D40" s="510"/>
      <c r="E40" s="510"/>
      <c r="F40" s="510"/>
      <c r="G40" s="510"/>
      <c r="H40" s="510"/>
      <c r="I40" s="510"/>
      <c r="J40" s="510"/>
      <c r="L40" s="160">
        <f>MAX(N40:O40)</f>
        <v>0</v>
      </c>
      <c r="M40" s="160">
        <f>MAX(P40:S40)</f>
        <v>0</v>
      </c>
      <c r="N40" s="160"/>
      <c r="O40" s="156"/>
      <c r="P40" s="159">
        <f>IF(OR(P9&gt;1000,Q9&gt;1000,P10&gt;1000,Q10&gt;1000),1,0)</f>
        <v>0</v>
      </c>
      <c r="S40" s="156">
        <f>IF(OR(AA5&gt;1000,AA6&gt;1000,AA7&gt;1000,AA8&gt;1000),1,0)</f>
        <v>0</v>
      </c>
    </row>
    <row r="41" spans="1:16" ht="27" customHeight="1">
      <c r="A41" s="181">
        <f>A40+1</f>
        <v>29</v>
      </c>
      <c r="B41" s="183" t="str">
        <f>IF(L41=1,"Pogreška",IF(M41=1,"Provjera","OK"))</f>
        <v>OK</v>
      </c>
      <c r="C41" s="510" t="s">
        <v>333</v>
      </c>
      <c r="D41" s="510"/>
      <c r="E41" s="510"/>
      <c r="F41" s="510"/>
      <c r="G41" s="510"/>
      <c r="H41" s="510"/>
      <c r="I41" s="510"/>
      <c r="J41" s="510"/>
      <c r="L41" s="160">
        <f>MAX(N41:Q41)</f>
        <v>0</v>
      </c>
      <c r="M41" s="156"/>
      <c r="N41" s="157">
        <f>IF(MIN(Bilanca!I9:J25,Bilanca!I27:J44,Bilanca!I46:J46,Bilanca!I49:J49)&lt;0,1,0)</f>
        <v>0</v>
      </c>
      <c r="O41" s="156"/>
      <c r="P41" s="156"/>
    </row>
    <row r="42" spans="1:16" ht="27" customHeight="1">
      <c r="A42" s="181">
        <f t="shared" si="5"/>
        <v>30</v>
      </c>
      <c r="B42" s="183" t="str">
        <f t="shared" si="4"/>
        <v>OK</v>
      </c>
      <c r="C42" s="510" t="s">
        <v>752</v>
      </c>
      <c r="D42" s="510"/>
      <c r="E42" s="510"/>
      <c r="F42" s="510"/>
      <c r="G42" s="510"/>
      <c r="H42" s="510"/>
      <c r="I42" s="510"/>
      <c r="J42" s="510"/>
      <c r="L42" s="160">
        <f>MAX(N42:Q42)</f>
        <v>0</v>
      </c>
      <c r="M42" s="156"/>
      <c r="N42" s="157">
        <f>IF(AND($S6="DA",ABS(Bilanca!I52-Bilanca!I55)&gt;0),1,0)</f>
        <v>0</v>
      </c>
      <c r="O42" s="157">
        <f>IF(AND($S6="DA",ABS(Bilanca!J52-Bilanca!J55)&gt;0),1,0)</f>
        <v>0</v>
      </c>
      <c r="P42" s="156"/>
    </row>
    <row r="43" spans="1:16" ht="27" customHeight="1">
      <c r="A43" s="181">
        <f t="shared" si="5"/>
        <v>31</v>
      </c>
      <c r="B43" s="183" t="str">
        <f>IF(L43=1,"Pogreška",IF(M43=1,"Provjera","OK"))</f>
        <v>OK</v>
      </c>
      <c r="C43" s="510" t="s">
        <v>1730</v>
      </c>
      <c r="D43" s="510"/>
      <c r="E43" s="510"/>
      <c r="F43" s="510"/>
      <c r="G43" s="510"/>
      <c r="H43" s="510"/>
      <c r="I43" s="510"/>
      <c r="J43" s="510"/>
      <c r="L43" s="160">
        <f>MAX(N43:Q43)</f>
        <v>0</v>
      </c>
      <c r="M43" s="156"/>
      <c r="N43" s="157">
        <f>IF(MIN(RDG!I8:J8,RDG!I11:J11,RDG!I21:J22,RDG!I24:J24,RDG!I32:J32)&lt;0,1,0)</f>
        <v>0</v>
      </c>
      <c r="O43" s="156"/>
      <c r="P43" s="156"/>
    </row>
    <row r="44" spans="1:16" ht="27" customHeight="1">
      <c r="A44" s="181">
        <f t="shared" si="5"/>
        <v>32</v>
      </c>
      <c r="B44" s="183" t="str">
        <f>IF(L44=1,"Pogreška",IF(M44=1,"Provjera","OK"))</f>
        <v>OK</v>
      </c>
      <c r="C44" s="510" t="s">
        <v>2296</v>
      </c>
      <c r="D44" s="510"/>
      <c r="E44" s="510"/>
      <c r="F44" s="510"/>
      <c r="G44" s="510"/>
      <c r="H44" s="510"/>
      <c r="I44" s="510"/>
      <c r="J44" s="510"/>
      <c r="L44" s="160">
        <f>MAX(N44:Q44)</f>
        <v>0</v>
      </c>
      <c r="M44" s="156"/>
      <c r="N44" s="157">
        <f>IF(MAX(RDG!I9:J9,RDG!I12:J12,RDG!I26:J26)&lt;0,1,0)</f>
        <v>0</v>
      </c>
      <c r="O44" s="156"/>
      <c r="P44" s="156"/>
    </row>
    <row r="45" spans="1:16" ht="27" customHeight="1">
      <c r="A45" s="181">
        <f t="shared" si="5"/>
        <v>33</v>
      </c>
      <c r="B45" s="183" t="str">
        <f>IF(L45=1,"Pogreška",IF(M45=1,"Provjera","OK"))</f>
        <v>OK</v>
      </c>
      <c r="C45" s="510" t="s">
        <v>753</v>
      </c>
      <c r="D45" s="510"/>
      <c r="E45" s="510"/>
      <c r="F45" s="510"/>
      <c r="G45" s="510"/>
      <c r="H45" s="510"/>
      <c r="I45" s="510"/>
      <c r="J45" s="510"/>
      <c r="L45" s="160">
        <f>MAX(N45:Q45)</f>
        <v>0</v>
      </c>
      <c r="M45" s="156"/>
      <c r="N45" s="157">
        <f>IF(AND($S6="DA",ABS(RDG!I31-RDG!I34)&gt;0),1,0)</f>
        <v>0</v>
      </c>
      <c r="O45" s="157">
        <f>IF(AND($S6="DA",ABS(RDG!J31-RDG!J34)&gt;0),1,0)</f>
        <v>0</v>
      </c>
      <c r="P45" s="156"/>
    </row>
    <row r="46" spans="1:17" ht="30" customHeight="1">
      <c r="A46" s="181">
        <f t="shared" si="5"/>
        <v>34</v>
      </c>
      <c r="B46" s="183" t="str">
        <f>IF(L46=1,"Pogreška",IF(M46=1,"Provjera","OK"))</f>
        <v>OK</v>
      </c>
      <c r="C46" s="510" t="s">
        <v>1164</v>
      </c>
      <c r="D46" s="510"/>
      <c r="E46" s="510"/>
      <c r="F46" s="510"/>
      <c r="G46" s="510"/>
      <c r="H46" s="510"/>
      <c r="I46" s="510"/>
      <c r="J46" s="510"/>
      <c r="L46" s="160">
        <f>MAX(N46:O46)</f>
        <v>0</v>
      </c>
      <c r="M46" s="156"/>
      <c r="N46" s="157">
        <f>IF(MIN(Dodatni!I9:J35,Dodatni!I37:J60,Dodatni!I62:J84)&lt;0,1,0)</f>
        <v>0</v>
      </c>
      <c r="O46" s="156"/>
      <c r="P46" s="157"/>
      <c r="Q46" s="158"/>
    </row>
    <row r="47" spans="1:16" ht="19.5" customHeight="1">
      <c r="A47" s="531" t="s">
        <v>2484</v>
      </c>
      <c r="B47" s="532"/>
      <c r="C47" s="532"/>
      <c r="D47" s="532"/>
      <c r="E47" s="532"/>
      <c r="F47" s="532"/>
      <c r="G47" s="532"/>
      <c r="H47" s="532"/>
      <c r="I47" s="532"/>
      <c r="J47" s="533"/>
      <c r="L47" s="156">
        <f aca="true" t="shared" si="6" ref="L47:L54">MAX(N47:R47)</f>
        <v>0</v>
      </c>
      <c r="M47" s="156"/>
      <c r="N47" s="156"/>
      <c r="O47" s="156"/>
      <c r="P47" s="156"/>
    </row>
    <row r="48" spans="1:17" ht="19.5" customHeight="1">
      <c r="A48" s="181">
        <f>A46+1</f>
        <v>35</v>
      </c>
      <c r="B48" s="183" t="str">
        <f aca="true" t="shared" si="7" ref="B48:B54">IF(L48=1,"Pogreška",IF(M48=1,"Provjera","OK"))</f>
        <v>OK</v>
      </c>
      <c r="C48" s="510" t="s">
        <v>755</v>
      </c>
      <c r="D48" s="510"/>
      <c r="E48" s="510"/>
      <c r="F48" s="510"/>
      <c r="G48" s="510"/>
      <c r="H48" s="510"/>
      <c r="I48" s="510"/>
      <c r="J48" s="510"/>
      <c r="L48" s="156">
        <f t="shared" si="6"/>
        <v>0</v>
      </c>
      <c r="M48" s="156"/>
      <c r="N48" s="157">
        <f>IF(SUM(Dodatni!I9,Dodatni!I17,Dodatni!I21,Dodatni!I28)&gt;RDG!I8,1,0)</f>
        <v>0</v>
      </c>
      <c r="O48" s="157">
        <f>IF(SUM(Dodatni!J9,Dodatni!J17,Dodatni!J21,Dodatni!J28)&gt;RDG!J8,1,0)</f>
        <v>0</v>
      </c>
      <c r="P48" s="157"/>
      <c r="Q48" s="158"/>
    </row>
    <row r="49" spans="1:17" ht="19.5" customHeight="1">
      <c r="A49" s="181">
        <f aca="true" t="shared" si="8" ref="A49:A54">A48+1</f>
        <v>36</v>
      </c>
      <c r="B49" s="183" t="str">
        <f t="shared" si="7"/>
        <v>OK</v>
      </c>
      <c r="C49" s="510" t="s">
        <v>2297</v>
      </c>
      <c r="D49" s="510"/>
      <c r="E49" s="510"/>
      <c r="F49" s="510"/>
      <c r="G49" s="510"/>
      <c r="H49" s="510"/>
      <c r="I49" s="510"/>
      <c r="J49" s="510"/>
      <c r="L49" s="156">
        <f t="shared" si="6"/>
        <v>0</v>
      </c>
      <c r="M49" s="156"/>
      <c r="N49" s="157">
        <f>IF(AND(S5&lt;&gt;2,ABS(Dodatni!I29-RDG!I11)&gt;1),1,0)</f>
        <v>0</v>
      </c>
      <c r="O49" s="157">
        <f>IF(AND(S5&lt;&gt;2,ABS(Dodatni!J29-RDG!J11)&gt;1),1,0)</f>
        <v>0</v>
      </c>
      <c r="P49" s="157"/>
      <c r="Q49" s="158"/>
    </row>
    <row r="50" spans="1:17" ht="30" customHeight="1">
      <c r="A50" s="181">
        <f t="shared" si="8"/>
        <v>37</v>
      </c>
      <c r="B50" s="183" t="str">
        <f t="shared" si="7"/>
        <v>OK</v>
      </c>
      <c r="C50" s="510" t="s">
        <v>2298</v>
      </c>
      <c r="D50" s="510"/>
      <c r="E50" s="510"/>
      <c r="F50" s="510"/>
      <c r="G50" s="510"/>
      <c r="H50" s="510"/>
      <c r="I50" s="510"/>
      <c r="J50" s="510"/>
      <c r="L50" s="156">
        <f t="shared" si="6"/>
        <v>0</v>
      </c>
      <c r="M50" s="156"/>
      <c r="N50" s="157">
        <f>IF(SUM(Dodatni!I37,Dodatni!I42,Dodatni!I50,Dodatni!I57)&gt;RDG!I9,1,0)</f>
        <v>0</v>
      </c>
      <c r="O50" s="157">
        <f>IF(SUM(Dodatni!J37,Dodatni!J42,Dodatni!J50,Dodatni!J57)&gt;RDG!J9,1,0)</f>
        <v>0</v>
      </c>
      <c r="P50" s="157"/>
      <c r="Q50" s="158"/>
    </row>
    <row r="51" spans="1:17" ht="19.5" customHeight="1">
      <c r="A51" s="181">
        <f t="shared" si="8"/>
        <v>38</v>
      </c>
      <c r="B51" s="183" t="str">
        <f t="shared" si="7"/>
        <v>OK</v>
      </c>
      <c r="C51" s="510" t="s">
        <v>2299</v>
      </c>
      <c r="D51" s="510"/>
      <c r="E51" s="510"/>
      <c r="F51" s="510"/>
      <c r="G51" s="510"/>
      <c r="H51" s="510"/>
      <c r="I51" s="510"/>
      <c r="J51" s="510"/>
      <c r="L51" s="156">
        <f t="shared" si="6"/>
        <v>0</v>
      </c>
      <c r="M51" s="156"/>
      <c r="N51" s="157">
        <f>IF(AND(S5&lt;&gt;2,ABS(Dodatni!I58-RDG!I12)&gt;1),1,0)</f>
        <v>0</v>
      </c>
      <c r="O51" s="157">
        <f>IF(AND(S5&lt;&gt;2,ABS(Dodatni!J58-RDG!J12)&gt;1),1,0)</f>
        <v>0</v>
      </c>
      <c r="P51" s="157"/>
      <c r="Q51" s="158"/>
    </row>
    <row r="52" spans="1:17" ht="29.25" customHeight="1">
      <c r="A52" s="181">
        <f t="shared" si="8"/>
        <v>39</v>
      </c>
      <c r="B52" s="183" t="str">
        <f t="shared" si="7"/>
        <v>OK</v>
      </c>
      <c r="C52" s="510" t="s">
        <v>2300</v>
      </c>
      <c r="D52" s="510"/>
      <c r="E52" s="510"/>
      <c r="F52" s="510"/>
      <c r="G52" s="510"/>
      <c r="H52" s="510"/>
      <c r="I52" s="510"/>
      <c r="J52" s="510"/>
      <c r="L52" s="156">
        <f t="shared" si="6"/>
        <v>0</v>
      </c>
      <c r="M52" s="156"/>
      <c r="N52" s="157">
        <f>IF(SUM(Dodatni!I65,Dodatni!I73)&gt;RDG!I26,1,0)</f>
        <v>0</v>
      </c>
      <c r="O52" s="157">
        <f>IF(SUM(Dodatni!J65,Dodatni!J73)&gt;RDG!J26,1,0)</f>
        <v>0</v>
      </c>
      <c r="P52" s="157"/>
      <c r="Q52" s="158"/>
    </row>
    <row r="53" spans="1:17" ht="19.5" customHeight="1">
      <c r="A53" s="181">
        <f t="shared" si="8"/>
        <v>40</v>
      </c>
      <c r="B53" s="183" t="str">
        <f t="shared" si="7"/>
        <v>OK</v>
      </c>
      <c r="C53" s="510" t="s">
        <v>1731</v>
      </c>
      <c r="D53" s="510"/>
      <c r="E53" s="510"/>
      <c r="F53" s="510"/>
      <c r="G53" s="510"/>
      <c r="H53" s="510"/>
      <c r="I53" s="510"/>
      <c r="J53" s="510"/>
      <c r="L53" s="156">
        <f t="shared" si="6"/>
        <v>0</v>
      </c>
      <c r="M53" s="156"/>
      <c r="N53" s="157">
        <f>IF(SUM(Dodatni!I76:I77,Dodatni!I79:I81)&gt;RDG!I26,1,0)</f>
        <v>0</v>
      </c>
      <c r="O53" s="157">
        <f>IF(SUM(Dodatni!J76:J77,Dodatni!J79:J81)&gt;RDG!J26,1,0)</f>
        <v>0</v>
      </c>
      <c r="P53" s="157"/>
      <c r="Q53" s="158"/>
    </row>
    <row r="54" spans="1:16" ht="75" customHeight="1">
      <c r="A54" s="181">
        <f t="shared" si="8"/>
        <v>41</v>
      </c>
      <c r="B54" s="183" t="str">
        <f t="shared" si="7"/>
        <v>OK</v>
      </c>
      <c r="C54" s="510" t="s">
        <v>945</v>
      </c>
      <c r="D54" s="510"/>
      <c r="E54" s="510"/>
      <c r="F54" s="510"/>
      <c r="G54" s="510"/>
      <c r="H54" s="510"/>
      <c r="I54" s="510"/>
      <c r="J54" s="510"/>
      <c r="L54" s="156">
        <f t="shared" si="6"/>
        <v>0</v>
      </c>
      <c r="M54" s="160"/>
      <c r="N54" s="160">
        <f>IF(MID(P54,3,1)&lt;&gt;".",1,0)</f>
        <v>0</v>
      </c>
      <c r="O54" s="160">
        <f>IF(MID(P54,7,1)&lt;&gt;",",1,0)</f>
        <v>0</v>
      </c>
      <c r="P54" s="156" t="str">
        <f>TEXT(20001/2+RefStr!C31/2,"#.000,00")</f>
        <v>15.055,50</v>
      </c>
    </row>
    <row r="55" spans="1:10" ht="19.5" customHeight="1">
      <c r="A55" s="534" t="s">
        <v>1607</v>
      </c>
      <c r="B55" s="535"/>
      <c r="C55" s="535"/>
      <c r="D55" s="535"/>
      <c r="E55" s="535"/>
      <c r="F55" s="535"/>
      <c r="G55" s="535"/>
      <c r="H55" s="535"/>
      <c r="I55" s="535"/>
      <c r="J55" s="536"/>
    </row>
    <row r="56" spans="1:17" ht="48" customHeight="1">
      <c r="A56" s="181">
        <f>A54+1</f>
        <v>42</v>
      </c>
      <c r="B56" s="182" t="str">
        <f aca="true" t="shared" si="9" ref="B56:B68">IF(L56=1,"Pogreška",IF(M56=1,"Provjera","OK"))</f>
        <v>OK</v>
      </c>
      <c r="C56" s="510" t="s">
        <v>2177</v>
      </c>
      <c r="D56" s="510"/>
      <c r="E56" s="510"/>
      <c r="F56" s="510"/>
      <c r="G56" s="510"/>
      <c r="H56" s="510"/>
      <c r="I56" s="510"/>
      <c r="J56" s="510"/>
      <c r="L56" s="156">
        <f>MAX(N56:S56)</f>
        <v>0</v>
      </c>
      <c r="M56" s="156"/>
      <c r="N56" s="156">
        <f>IF(OR(AND(P2=0,Y4&gt;0),AND(P2&gt;0,Y4=0)),1,0)</f>
        <v>0</v>
      </c>
      <c r="O56" s="156">
        <f>IF(OR(AND(Q2=0,Y5&gt;0),AND(Q2&gt;0,Y5=0)),1,0)</f>
        <v>0</v>
      </c>
      <c r="P56" s="156">
        <f>IF(OR(AND(P3=0,Y4&gt;0),AND(P3&gt;0,Y4=0)),1,0)</f>
        <v>0</v>
      </c>
      <c r="Q56" s="159">
        <f>IF(OR(AND(Q3=0,Y5&gt;0),AND(Q3&gt;1,Y5=0)),1,0)</f>
        <v>0</v>
      </c>
    </row>
    <row r="57" spans="1:17" ht="48" customHeight="1">
      <c r="A57" s="181">
        <f>A56+1</f>
        <v>43</v>
      </c>
      <c r="B57" s="183" t="str">
        <f t="shared" si="9"/>
        <v>OK</v>
      </c>
      <c r="C57" s="510" t="s">
        <v>2178</v>
      </c>
      <c r="D57" s="510"/>
      <c r="E57" s="510"/>
      <c r="F57" s="510"/>
      <c r="G57" s="510"/>
      <c r="H57" s="510"/>
      <c r="I57" s="510"/>
      <c r="J57" s="510"/>
      <c r="L57" s="156">
        <f>MAX(N57:T57)</f>
        <v>0</v>
      </c>
      <c r="M57" s="156"/>
      <c r="N57" s="156">
        <f>IF(AND(S5&lt;&gt;2,P4=0,Y4&gt;0),1,0)</f>
        <v>0</v>
      </c>
      <c r="O57" s="156">
        <f>IF(AND(S5&lt;&gt;2,Q4=0,Y5&gt;0),1,0)</f>
        <v>0</v>
      </c>
      <c r="P57" s="156">
        <f>IF(AND(S5=2,OR(P4&gt;0,Q4&gt;0)),1,0)</f>
        <v>0</v>
      </c>
      <c r="Q57" s="159">
        <f>IF(AND(O4&gt;0,S2&lt;&gt;10,S2&lt;&gt;11,S2&lt;&gt;20,S2&lt;&gt;30,S2&lt;&gt;40),1,0)</f>
        <v>0</v>
      </c>
    </row>
    <row r="58" spans="1:15" ht="63.75" customHeight="1">
      <c r="A58" s="181">
        <f aca="true" t="shared" si="10" ref="A58:A68">A57+1</f>
        <v>44</v>
      </c>
      <c r="B58" s="183" t="str">
        <f t="shared" si="9"/>
        <v>OK</v>
      </c>
      <c r="C58" s="510" t="s">
        <v>2139</v>
      </c>
      <c r="D58" s="510"/>
      <c r="E58" s="510"/>
      <c r="F58" s="510"/>
      <c r="G58" s="510"/>
      <c r="H58" s="510"/>
      <c r="I58" s="510"/>
      <c r="J58" s="510"/>
      <c r="L58" s="156">
        <f>MAX(N58:O58)</f>
        <v>0</v>
      </c>
      <c r="M58" s="156"/>
      <c r="N58" s="156">
        <f>IF(AND(S5=1,AA9&lt;&gt;"NE"),1,0)</f>
        <v>0</v>
      </c>
      <c r="O58" s="156">
        <f>IF(AND(S5&gt;1,AA9&lt;&gt;"DA"),1,0)</f>
        <v>0</v>
      </c>
    </row>
    <row r="59" spans="1:18" ht="53.25" customHeight="1">
      <c r="A59" s="181">
        <f t="shared" si="10"/>
        <v>45</v>
      </c>
      <c r="B59" s="183" t="str">
        <f t="shared" si="9"/>
        <v>OK</v>
      </c>
      <c r="C59" s="510" t="s">
        <v>1958</v>
      </c>
      <c r="D59" s="510"/>
      <c r="E59" s="510"/>
      <c r="F59" s="510"/>
      <c r="G59" s="510"/>
      <c r="H59" s="510"/>
      <c r="I59" s="510"/>
      <c r="J59" s="510"/>
      <c r="L59" s="156">
        <f>IF(SUM(N59:R59)&gt;0,1,0)</f>
        <v>0</v>
      </c>
      <c r="M59" s="156"/>
      <c r="N59" s="156">
        <f>IF(AND(S5=1,OR(O5&lt;&gt;0,O6&lt;&gt;0)),1,0)</f>
        <v>0</v>
      </c>
      <c r="O59" s="156">
        <f>IF(AND(O5&lt;&gt;0,O6&lt;&gt;0),1,0)</f>
        <v>0</v>
      </c>
      <c r="P59" s="159">
        <f>IF(AND(S5&gt;1,AND(O5=0,O6=0)),1,0)</f>
        <v>0</v>
      </c>
      <c r="Q59" s="159">
        <f>IF(AND(O5&lt;&gt;0,OR(P2&lt;&gt;P5,Q2&lt;&gt;Q5)),1,0)</f>
        <v>0</v>
      </c>
      <c r="R59" s="159">
        <f>IF(AND(O6&lt;&gt;0,OR(P2&lt;&gt;P6,Q2&lt;&gt;Q6)),1,0)</f>
        <v>0</v>
      </c>
    </row>
    <row r="60" spans="1:20" ht="64.5" customHeight="1">
      <c r="A60" s="181">
        <f t="shared" si="10"/>
        <v>46</v>
      </c>
      <c r="B60" s="183" t="str">
        <f t="shared" si="9"/>
        <v>OK</v>
      </c>
      <c r="C60" s="510" t="s">
        <v>2071</v>
      </c>
      <c r="D60" s="510"/>
      <c r="E60" s="510"/>
      <c r="F60" s="510"/>
      <c r="G60" s="510"/>
      <c r="H60" s="510"/>
      <c r="I60" s="510"/>
      <c r="J60" s="510"/>
      <c r="L60" s="156">
        <f>IF(SUM(N60:P60)&gt;0,1,0)</f>
        <v>0</v>
      </c>
      <c r="M60" s="156"/>
      <c r="N60" s="156">
        <f>IF(AND(S5=1,O7&lt;&gt;0),1,0)</f>
        <v>0</v>
      </c>
      <c r="O60" s="156">
        <f>IF(AND(S5&gt;1,O7=0),1,0)</f>
        <v>0</v>
      </c>
      <c r="P60" s="156">
        <f>IF(AND(O7&lt;&gt;0,OR(Q2&lt;&gt;Q7)),1,0)</f>
        <v>0</v>
      </c>
      <c r="Q60" s="156"/>
      <c r="R60" s="156"/>
      <c r="S60" s="156"/>
      <c r="T60" s="156"/>
    </row>
    <row r="61" spans="1:19" ht="19.5" customHeight="1">
      <c r="A61" s="181">
        <f t="shared" si="10"/>
        <v>47</v>
      </c>
      <c r="B61" s="183" t="str">
        <f t="shared" si="9"/>
        <v>OK</v>
      </c>
      <c r="C61" s="510" t="s">
        <v>2164</v>
      </c>
      <c r="D61" s="510"/>
      <c r="E61" s="510"/>
      <c r="F61" s="510"/>
      <c r="G61" s="510"/>
      <c r="H61" s="510"/>
      <c r="I61" s="510"/>
      <c r="J61" s="510"/>
      <c r="L61" s="156">
        <f>MAX(N61:Q61)</f>
        <v>0</v>
      </c>
      <c r="M61" s="156"/>
      <c r="N61" s="156">
        <f>IF(AND(S5=1,AA10="DA"),1,0)</f>
        <v>0</v>
      </c>
      <c r="O61" s="156">
        <f>IF(AND(AA10="DA",S2&lt;&gt;10,S2&lt;&gt;11,S2&lt;&gt;20,S2&lt;&gt;30),1,0)</f>
        <v>0</v>
      </c>
      <c r="P61" s="159">
        <f>IF(AND(AA10&lt;&gt;"DA",S2&lt;12,S5&gt;1),1,0)</f>
        <v>0</v>
      </c>
      <c r="Q61" s="156"/>
      <c r="R61" s="156"/>
      <c r="S61" s="156"/>
    </row>
    <row r="62" spans="1:23" ht="27" customHeight="1">
      <c r="A62" s="181">
        <f t="shared" si="10"/>
        <v>48</v>
      </c>
      <c r="B62" s="183" t="str">
        <f t="shared" si="9"/>
        <v>OK</v>
      </c>
      <c r="C62" s="510" t="s">
        <v>58</v>
      </c>
      <c r="D62" s="510"/>
      <c r="E62" s="510"/>
      <c r="F62" s="510"/>
      <c r="G62" s="510"/>
      <c r="H62" s="510"/>
      <c r="I62" s="510"/>
      <c r="J62" s="510"/>
      <c r="L62" s="156">
        <f>MAX(N62:R62)</f>
        <v>0</v>
      </c>
      <c r="M62" s="156"/>
      <c r="N62" s="156">
        <f>IF(AND(S2&lt;&gt;10,S2&lt;&gt;11,S2&lt;&gt;20,S2&lt;&gt;30,AA11="DA"),1,0)</f>
        <v>0</v>
      </c>
      <c r="O62" s="156">
        <f>IF(AND(AA11="DA",S5&lt;2),1,0)</f>
        <v>0</v>
      </c>
      <c r="P62" s="156">
        <f>IF(AND(S5&gt;1,AA11&lt;&gt;"DA",S2=10,S6&lt;&gt;"DA"),1,0)</f>
        <v>0</v>
      </c>
      <c r="Q62" s="159">
        <f>IF(AND(S5&gt;1,AA11&lt;&gt;"DA",S2=10,S6&lt;&gt;"DA"),1,0)</f>
        <v>0</v>
      </c>
      <c r="R62" s="159">
        <f>IF(AND(S6="DA",AA11="DA"),1,0)</f>
        <v>0</v>
      </c>
      <c r="S62" s="156"/>
      <c r="T62" s="156"/>
      <c r="U62" s="156"/>
      <c r="V62" s="156"/>
      <c r="W62" s="156"/>
    </row>
    <row r="63" spans="1:32" ht="27" customHeight="1">
      <c r="A63" s="181">
        <f t="shared" si="10"/>
        <v>49</v>
      </c>
      <c r="B63" s="183" t="str">
        <f t="shared" si="9"/>
        <v>OK</v>
      </c>
      <c r="C63" s="510" t="s">
        <v>59</v>
      </c>
      <c r="D63" s="510"/>
      <c r="E63" s="510"/>
      <c r="F63" s="510"/>
      <c r="G63" s="510"/>
      <c r="H63" s="510"/>
      <c r="I63" s="510"/>
      <c r="J63" s="510"/>
      <c r="L63" s="156">
        <f>MAX(N63:S63)</f>
        <v>0</v>
      </c>
      <c r="M63" s="156"/>
      <c r="N63" s="156">
        <f>IF(AND(RefStr!C19=1,AC2="DA"),1,0)</f>
        <v>0</v>
      </c>
      <c r="O63" s="156">
        <f>IF(AND(AC2="DA",S2&lt;&gt;10,S2&lt;&gt;11,S2&lt;&gt;20,S2&lt;&gt;30),1,0)</f>
        <v>0</v>
      </c>
      <c r="P63" s="156">
        <f>IF(AND(S2=10,RefStr!C19&gt;1,AC2&lt;&gt;"DA"),1,0)</f>
        <v>0</v>
      </c>
      <c r="Q63" s="159">
        <f>IF(AND(S2=11,RefStr!C19&gt;1,AC2&lt;&gt;"DA"),1,0)</f>
        <v>0</v>
      </c>
      <c r="R63" s="156"/>
      <c r="S63" s="156"/>
      <c r="T63" s="156"/>
      <c r="U63" s="156"/>
      <c r="V63" s="156"/>
      <c r="W63" s="156"/>
      <c r="AA63" s="156"/>
      <c r="AB63" s="156"/>
      <c r="AC63" s="156"/>
      <c r="AD63" s="156"/>
      <c r="AE63" s="156"/>
      <c r="AF63" s="156"/>
    </row>
    <row r="64" spans="1:32" ht="39.75" customHeight="1">
      <c r="A64" s="181">
        <f t="shared" si="10"/>
        <v>50</v>
      </c>
      <c r="B64" s="183" t="str">
        <f t="shared" si="9"/>
        <v>OK</v>
      </c>
      <c r="C64" s="510" t="s">
        <v>1203</v>
      </c>
      <c r="D64" s="510"/>
      <c r="E64" s="510"/>
      <c r="F64" s="510"/>
      <c r="G64" s="510"/>
      <c r="H64" s="510"/>
      <c r="I64" s="510"/>
      <c r="J64" s="510"/>
      <c r="L64" s="156">
        <f>MAX(N64:S64)</f>
        <v>0</v>
      </c>
      <c r="M64" s="156"/>
      <c r="N64" s="156">
        <f>IF(AND(S2=11,S5=3),1,0)</f>
        <v>0</v>
      </c>
      <c r="O64" s="156"/>
      <c r="P64" s="156"/>
      <c r="R64" s="156"/>
      <c r="S64" s="156"/>
      <c r="T64" s="156"/>
      <c r="U64" s="156"/>
      <c r="V64" s="156"/>
      <c r="W64" s="156"/>
      <c r="AA64" s="156"/>
      <c r="AB64" s="156"/>
      <c r="AC64" s="156"/>
      <c r="AD64" s="156"/>
      <c r="AE64" s="156"/>
      <c r="AF64" s="156"/>
    </row>
    <row r="65" spans="1:26" ht="109.5" customHeight="1">
      <c r="A65" s="181">
        <f t="shared" si="10"/>
        <v>51</v>
      </c>
      <c r="B65" s="183" t="str">
        <f t="shared" si="9"/>
        <v>OK</v>
      </c>
      <c r="C65" s="510" t="s">
        <v>874</v>
      </c>
      <c r="D65" s="510"/>
      <c r="E65" s="510"/>
      <c r="F65" s="510"/>
      <c r="G65" s="510"/>
      <c r="H65" s="510"/>
      <c r="I65" s="510"/>
      <c r="J65" s="510"/>
      <c r="L65" s="156">
        <f>MAX(N65:S65)</f>
        <v>0</v>
      </c>
      <c r="M65" s="156"/>
      <c r="N65" s="156">
        <f>IF(OR(P8&gt;12,P8&lt;0,Q8&lt;=0,Q8&gt;U65,Q8&lt;V65,S8&gt;=S9),1,0)</f>
        <v>0</v>
      </c>
      <c r="O65" s="159">
        <f>IF(AND(P8=0,MAX(P2:P7)=1),1,0)</f>
        <v>0</v>
      </c>
      <c r="P65" s="156">
        <f>IF(AND(S2=10,OR(MONTH(S9)&lt;&gt;12,DAY(S9)&lt;&gt;31)),1,0)</f>
        <v>0</v>
      </c>
      <c r="Q65" s="156">
        <f>IF(AND(S2=11,S5=1,OR(MONTH(S9)&lt;&gt;12,DAY(S9)&lt;&gt;31)),1,0)</f>
        <v>0</v>
      </c>
      <c r="R65" s="159">
        <f>IF(AND(S2=11,MONTH(S9)=12,DAY(S9)=31,RefStr!C19=2),1,0)</f>
        <v>0</v>
      </c>
      <c r="U65" s="157">
        <f>ROUND((S9-S8+20)/30,0)</f>
        <v>13</v>
      </c>
      <c r="V65" s="159">
        <f>ROUND((S9-S8-20)/30,0)</f>
        <v>12</v>
      </c>
      <c r="W65" s="156"/>
      <c r="X65" s="156"/>
      <c r="Y65" s="156"/>
      <c r="Z65" s="156"/>
    </row>
    <row r="66" spans="1:29" ht="108" customHeight="1">
      <c r="A66" s="181">
        <f t="shared" si="10"/>
        <v>52</v>
      </c>
      <c r="B66" s="183" t="str">
        <f t="shared" si="9"/>
        <v>OK</v>
      </c>
      <c r="C66" s="510" t="s">
        <v>2332</v>
      </c>
      <c r="D66" s="510"/>
      <c r="E66" s="510"/>
      <c r="F66" s="510"/>
      <c r="G66" s="510"/>
      <c r="H66" s="510"/>
      <c r="I66" s="510"/>
      <c r="J66" s="510"/>
      <c r="L66" s="160">
        <f>MAX(N66:N66)</f>
        <v>0</v>
      </c>
      <c r="M66" s="160"/>
      <c r="N66" s="160">
        <f>IF(ISERROR(P66),0,1)</f>
        <v>0</v>
      </c>
      <c r="O66" s="156" t="str">
        <f ca="1">CELL("filename")</f>
        <v>C:\Users\Nedjeljka.Buric\AppData\Local\Microsoft\Windows\Temporary Internet Files\Content.Outlook\CZA50ZY8\[za javnu objavu GFI BAN.xls]RefStr</v>
      </c>
      <c r="P66" s="156" t="e">
        <f>FIND(".XLSX",UPPER(O66),1)</f>
        <v>#VALUE!</v>
      </c>
      <c r="Q66" s="156"/>
      <c r="R66" s="156"/>
      <c r="S66" s="156"/>
      <c r="T66" s="156"/>
      <c r="U66" s="156"/>
      <c r="X66" s="156"/>
      <c r="Y66" s="156"/>
      <c r="Z66" s="156"/>
      <c r="AA66" s="156"/>
      <c r="AB66" s="156"/>
      <c r="AC66" s="156"/>
    </row>
    <row r="67" spans="1:31" ht="48" customHeight="1">
      <c r="A67" s="181">
        <f t="shared" si="10"/>
        <v>53</v>
      </c>
      <c r="B67" s="183" t="str">
        <f t="shared" si="9"/>
        <v>OK</v>
      </c>
      <c r="C67" s="510" t="s">
        <v>2108</v>
      </c>
      <c r="D67" s="510"/>
      <c r="E67" s="510"/>
      <c r="F67" s="510"/>
      <c r="G67" s="510"/>
      <c r="H67" s="510"/>
      <c r="I67" s="510"/>
      <c r="J67" s="510"/>
      <c r="L67" s="156">
        <f>MAX(N67:S67)</f>
        <v>0</v>
      </c>
      <c r="M67" s="156"/>
      <c r="N67" s="156">
        <f>IF(SUM(Skriveni!I2:I290)&lt;&gt;0,1,0)</f>
        <v>0</v>
      </c>
      <c r="O67" s="156"/>
      <c r="Q67" s="156"/>
      <c r="R67" s="156"/>
      <c r="S67" s="156"/>
      <c r="T67" s="156"/>
      <c r="U67" s="156"/>
      <c r="V67" s="156"/>
      <c r="Z67" s="156"/>
      <c r="AA67" s="156"/>
      <c r="AB67" s="156"/>
      <c r="AC67" s="156"/>
      <c r="AD67" s="156"/>
      <c r="AE67" s="156"/>
    </row>
    <row r="68" spans="1:17" ht="70.5" customHeight="1">
      <c r="A68" s="181">
        <f t="shared" si="10"/>
        <v>54</v>
      </c>
      <c r="B68" s="183" t="str">
        <f t="shared" si="9"/>
        <v>Provjera</v>
      </c>
      <c r="C68" s="510" t="s">
        <v>60</v>
      </c>
      <c r="D68" s="510"/>
      <c r="E68" s="510"/>
      <c r="F68" s="510"/>
      <c r="G68" s="510"/>
      <c r="H68" s="510"/>
      <c r="I68" s="510"/>
      <c r="J68" s="510"/>
      <c r="L68" s="156">
        <v>0</v>
      </c>
      <c r="M68" s="156">
        <f>MAX(N68:Q68)</f>
        <v>1</v>
      </c>
      <c r="N68" s="156">
        <f>IF(AND(RDG!I46&gt;40000,OR(AA5=0,AA7=0)),1,0)</f>
        <v>0</v>
      </c>
      <c r="O68" s="156">
        <f>IF(AND(RDG!J46&gt;40000,OR(AA6=0,AA8=0)),1,0)</f>
        <v>0</v>
      </c>
      <c r="P68" s="156">
        <f>IF(AND(RDG!I46=0,OR(AA5&gt;0,AA7&gt;0)),1,0)</f>
        <v>1</v>
      </c>
      <c r="Q68" s="159">
        <f>IF(AND(RDG!J46=0,OR(AA6&gt;0,AA8&gt;0)),1,0)</f>
        <v>1</v>
      </c>
    </row>
    <row r="69" ht="4.5" customHeight="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sheetData>
  <sheetProtection password="C79A" sheet="1" objects="1" scenarios="1"/>
  <mergeCells count="65">
    <mergeCell ref="C25:J25"/>
    <mergeCell ref="C26:J26"/>
    <mergeCell ref="C27:J27"/>
    <mergeCell ref="C13:J13"/>
    <mergeCell ref="C17:J17"/>
    <mergeCell ref="C15:J15"/>
    <mergeCell ref="C16:J16"/>
    <mergeCell ref="C14:J14"/>
    <mergeCell ref="C20:J20"/>
    <mergeCell ref="C53:J53"/>
    <mergeCell ref="C54:J54"/>
    <mergeCell ref="C63:J63"/>
    <mergeCell ref="C29:J29"/>
    <mergeCell ref="C18:J18"/>
    <mergeCell ref="C23:J23"/>
    <mergeCell ref="C21:J21"/>
    <mergeCell ref="C22:J22"/>
    <mergeCell ref="C28:J28"/>
    <mergeCell ref="C24:J24"/>
    <mergeCell ref="C59:J59"/>
    <mergeCell ref="C60:J60"/>
    <mergeCell ref="C65:J65"/>
    <mergeCell ref="C64:J64"/>
    <mergeCell ref="C61:J61"/>
    <mergeCell ref="C62:J62"/>
    <mergeCell ref="C42:J42"/>
    <mergeCell ref="C57:J57"/>
    <mergeCell ref="C40:J40"/>
    <mergeCell ref="C50:J50"/>
    <mergeCell ref="C68:J68"/>
    <mergeCell ref="C67:J67"/>
    <mergeCell ref="C66:J66"/>
    <mergeCell ref="C56:J56"/>
    <mergeCell ref="A55:J55"/>
    <mergeCell ref="C58:J58"/>
    <mergeCell ref="C38:J38"/>
    <mergeCell ref="C39:J39"/>
    <mergeCell ref="A47:J47"/>
    <mergeCell ref="C52:J52"/>
    <mergeCell ref="C51:J51"/>
    <mergeCell ref="C48:J48"/>
    <mergeCell ref="C46:J46"/>
    <mergeCell ref="C49:J49"/>
    <mergeCell ref="C41:J41"/>
    <mergeCell ref="C44:J44"/>
    <mergeCell ref="A33:J33"/>
    <mergeCell ref="A3:H8"/>
    <mergeCell ref="I8:J8"/>
    <mergeCell ref="I3:J3"/>
    <mergeCell ref="I5:J5"/>
    <mergeCell ref="I6:J6"/>
    <mergeCell ref="C12:J12"/>
    <mergeCell ref="C30:J30"/>
    <mergeCell ref="C32:J32"/>
    <mergeCell ref="C19:J19"/>
    <mergeCell ref="C35:J35"/>
    <mergeCell ref="C9:J10"/>
    <mergeCell ref="C45:J45"/>
    <mergeCell ref="C43:J43"/>
    <mergeCell ref="A11:J11"/>
    <mergeCell ref="A9:B10"/>
    <mergeCell ref="C31:J31"/>
    <mergeCell ref="C36:J36"/>
    <mergeCell ref="C37:J37"/>
    <mergeCell ref="C34:J34"/>
  </mergeCells>
  <conditionalFormatting sqref="B56:B68 B12:B32 B48:B54 B34:B46">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PodDop!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05" t="s">
        <v>2610</v>
      </c>
      <c r="B1" s="54" t="s">
        <v>2609</v>
      </c>
      <c r="C1" s="54" t="s">
        <v>2612</v>
      </c>
      <c r="D1" s="54" t="s">
        <v>2027</v>
      </c>
      <c r="E1" s="54" t="s">
        <v>1209</v>
      </c>
      <c r="F1" s="54" t="s">
        <v>2475</v>
      </c>
      <c r="G1" s="54" t="s">
        <v>621</v>
      </c>
      <c r="H1" s="54" t="s">
        <v>622</v>
      </c>
      <c r="I1" s="54" t="s">
        <v>1210</v>
      </c>
      <c r="J1" s="55" t="s">
        <v>2611</v>
      </c>
    </row>
    <row r="2" spans="1:10" ht="79.5" customHeight="1">
      <c r="A2" s="257" t="s">
        <v>1371</v>
      </c>
      <c r="B2" s="258"/>
      <c r="C2" s="258"/>
      <c r="D2" s="258"/>
      <c r="E2" s="258"/>
      <c r="F2" s="258"/>
      <c r="G2" s="258"/>
      <c r="H2" s="258"/>
      <c r="I2" s="258"/>
      <c r="J2" s="259"/>
    </row>
    <row r="3" spans="1:10" ht="20.25" customHeight="1">
      <c r="A3" s="269" t="s">
        <v>2613</v>
      </c>
      <c r="B3" s="264"/>
      <c r="C3" s="270" t="s">
        <v>2614</v>
      </c>
      <c r="D3" s="271"/>
      <c r="E3" s="271"/>
      <c r="F3" s="271"/>
      <c r="G3" s="271"/>
      <c r="H3" s="271"/>
      <c r="I3" s="271"/>
      <c r="J3" s="272"/>
    </row>
    <row r="4" spans="1:10" ht="33" customHeight="1">
      <c r="A4" s="266" t="s">
        <v>1445</v>
      </c>
      <c r="B4" s="267"/>
      <c r="C4" s="267"/>
      <c r="D4" s="267"/>
      <c r="E4" s="267"/>
      <c r="F4" s="267"/>
      <c r="G4" s="267"/>
      <c r="H4" s="267"/>
      <c r="I4" s="267"/>
      <c r="J4" s="268"/>
    </row>
    <row r="5" spans="1:10" ht="18.75" customHeight="1">
      <c r="A5" s="52" t="s">
        <v>177</v>
      </c>
      <c r="B5" s="260" t="s">
        <v>2606</v>
      </c>
      <c r="C5" s="261"/>
      <c r="D5" s="261"/>
      <c r="E5" s="261"/>
      <c r="F5" s="261"/>
      <c r="G5" s="261"/>
      <c r="H5" s="261"/>
      <c r="I5" s="261"/>
      <c r="J5" s="262"/>
    </row>
    <row r="6" spans="1:10" ht="18.75" customHeight="1">
      <c r="A6" s="53" t="s">
        <v>2608</v>
      </c>
      <c r="B6" s="263" t="s">
        <v>2607</v>
      </c>
      <c r="C6" s="264"/>
      <c r="D6" s="264"/>
      <c r="E6" s="264"/>
      <c r="F6" s="264"/>
      <c r="G6" s="264"/>
      <c r="H6" s="264"/>
      <c r="I6" s="264"/>
      <c r="J6" s="265"/>
    </row>
    <row r="7" spans="1:10" ht="83.25" customHeight="1">
      <c r="A7" s="53" t="s">
        <v>2618</v>
      </c>
      <c r="B7" s="254" t="s">
        <v>1957</v>
      </c>
      <c r="C7" s="255"/>
      <c r="D7" s="255"/>
      <c r="E7" s="255"/>
      <c r="F7" s="255"/>
      <c r="G7" s="255"/>
      <c r="H7" s="255"/>
      <c r="I7" s="255"/>
      <c r="J7" s="256"/>
    </row>
    <row r="8" spans="1:10" ht="64.5" customHeight="1">
      <c r="A8" s="53" t="s">
        <v>57</v>
      </c>
      <c r="B8" s="254" t="s">
        <v>332</v>
      </c>
      <c r="C8" s="255"/>
      <c r="D8" s="255"/>
      <c r="E8" s="255"/>
      <c r="F8" s="255"/>
      <c r="G8" s="255"/>
      <c r="H8" s="255"/>
      <c r="I8" s="255"/>
      <c r="J8" s="256"/>
    </row>
    <row r="9" ht="4.5" customHeight="1"/>
  </sheetData>
  <sheetProtection password="C79A" sheet="1" objects="1" scenarios="1"/>
  <mergeCells count="8">
    <mergeCell ref="B8:J8"/>
    <mergeCell ref="B7:J7"/>
    <mergeCell ref="A2:J2"/>
    <mergeCell ref="B5:J5"/>
    <mergeCell ref="B6:J6"/>
    <mergeCell ref="A4:J4"/>
    <mergeCell ref="A3:B3"/>
    <mergeCell ref="C3:J3"/>
  </mergeCells>
  <hyperlinks>
    <hyperlink ref="C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2"/>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2" width="10.7109375" style="18" customWidth="1"/>
    <col min="3" max="14" width="6.7109375" style="18" customWidth="1"/>
    <col min="15" max="15" width="2.7109375" style="18" customWidth="1"/>
    <col min="16" max="17" width="9.140625" style="41" hidden="1" customWidth="1"/>
    <col min="18" max="16384" width="9.140625" style="82" hidden="1" customWidth="1"/>
  </cols>
  <sheetData>
    <row r="1" spans="1:17" s="110" customFormat="1" ht="24.75" customHeight="1">
      <c r="A1" s="105" t="s">
        <v>2610</v>
      </c>
      <c r="B1" s="54" t="s">
        <v>2609</v>
      </c>
      <c r="C1" s="54" t="s">
        <v>2612</v>
      </c>
      <c r="D1" s="54" t="s">
        <v>2027</v>
      </c>
      <c r="E1" s="54" t="s">
        <v>1209</v>
      </c>
      <c r="F1" s="54" t="s">
        <v>2475</v>
      </c>
      <c r="G1" s="54" t="s">
        <v>621</v>
      </c>
      <c r="H1" s="54" t="s">
        <v>622</v>
      </c>
      <c r="I1" s="54" t="s">
        <v>1210</v>
      </c>
      <c r="J1" s="55" t="s">
        <v>2611</v>
      </c>
      <c r="K1" s="106"/>
      <c r="L1" s="106"/>
      <c r="M1" s="106"/>
      <c r="N1" s="106"/>
      <c r="O1" s="3"/>
      <c r="P1" s="109"/>
      <c r="Q1" s="39">
        <f>IF(C4&lt;&gt;"",YEAR(C4),"")</f>
        <v>2016</v>
      </c>
    </row>
    <row r="2" spans="1:17" s="110" customFormat="1" ht="60" customHeight="1">
      <c r="A2" s="296" t="s">
        <v>62</v>
      </c>
      <c r="B2" s="297"/>
      <c r="C2" s="297"/>
      <c r="D2" s="297"/>
      <c r="E2" s="297"/>
      <c r="F2" s="297"/>
      <c r="G2" s="297"/>
      <c r="H2" s="297"/>
      <c r="I2" s="297"/>
      <c r="J2" s="297"/>
      <c r="K2" s="297"/>
      <c r="L2" s="297"/>
      <c r="M2" s="297"/>
      <c r="N2" s="298"/>
      <c r="O2" s="3"/>
      <c r="P2" s="41"/>
      <c r="Q2" s="40">
        <f>IF(F4&lt;&gt;"",YEAR(F4),"")</f>
        <v>2016</v>
      </c>
    </row>
    <row r="3" spans="1:17" s="110" customFormat="1" ht="4.5" customHeight="1">
      <c r="A3" s="7"/>
      <c r="B3" s="8"/>
      <c r="C3" s="9"/>
      <c r="D3" s="8"/>
      <c r="E3" s="9"/>
      <c r="F3" s="9"/>
      <c r="G3" s="9"/>
      <c r="H3" s="9"/>
      <c r="I3" s="9"/>
      <c r="J3" s="9"/>
      <c r="K3" s="8"/>
      <c r="L3" s="8"/>
      <c r="M3" s="8"/>
      <c r="N3" s="8"/>
      <c r="O3" s="3"/>
      <c r="P3" s="41"/>
      <c r="Q3" s="41"/>
    </row>
    <row r="4" spans="1:17" s="110" customFormat="1" ht="15" customHeight="1">
      <c r="A4" s="301" t="s">
        <v>1557</v>
      </c>
      <c r="B4" s="302"/>
      <c r="C4" s="291">
        <v>42370</v>
      </c>
      <c r="D4" s="292"/>
      <c r="E4" s="10" t="s">
        <v>1567</v>
      </c>
      <c r="F4" s="291">
        <v>42735</v>
      </c>
      <c r="G4" s="292"/>
      <c r="H4" s="303" t="s">
        <v>947</v>
      </c>
      <c r="I4" s="304"/>
      <c r="J4" s="304"/>
      <c r="K4" s="304"/>
      <c r="L4" s="304"/>
      <c r="M4" s="304"/>
      <c r="N4" s="304"/>
      <c r="O4" s="3"/>
      <c r="P4" s="41"/>
      <c r="Q4" s="41"/>
    </row>
    <row r="5" spans="1:17" s="110" customFormat="1" ht="4.5" customHeight="1">
      <c r="A5" s="6"/>
      <c r="B5" s="6"/>
      <c r="C5" s="6"/>
      <c r="D5" s="6"/>
      <c r="E5" s="11"/>
      <c r="F5" s="11"/>
      <c r="G5" s="6"/>
      <c r="H5" s="6"/>
      <c r="I5" s="6"/>
      <c r="J5" s="111"/>
      <c r="K5" s="111"/>
      <c r="L5" s="111"/>
      <c r="M5" s="111"/>
      <c r="N5" s="111"/>
      <c r="O5" s="3"/>
      <c r="P5" s="41"/>
      <c r="Q5" s="41"/>
    </row>
    <row r="6" spans="1:17" s="110" customFormat="1" ht="14.25" customHeight="1">
      <c r="A6" s="12"/>
      <c r="B6" s="6"/>
      <c r="C6" s="6"/>
      <c r="D6" s="6"/>
      <c r="E6" s="6"/>
      <c r="F6" s="6"/>
      <c r="G6" s="6"/>
      <c r="H6" s="6"/>
      <c r="I6" s="6"/>
      <c r="J6" s="193"/>
      <c r="K6" s="193"/>
      <c r="L6" s="193"/>
      <c r="M6" s="201" t="s">
        <v>2538</v>
      </c>
      <c r="N6" s="202" t="s">
        <v>879</v>
      </c>
      <c r="O6" s="3"/>
      <c r="P6" s="41"/>
      <c r="Q6" s="41"/>
    </row>
    <row r="7" spans="1:17" s="110" customFormat="1" ht="15" customHeight="1">
      <c r="A7" s="299" t="s">
        <v>1566</v>
      </c>
      <c r="B7" s="300"/>
      <c r="C7" s="192">
        <v>4</v>
      </c>
      <c r="D7" s="305"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6"/>
      <c r="F7" s="306"/>
      <c r="G7" s="306"/>
      <c r="H7" s="306"/>
      <c r="I7" s="306"/>
      <c r="J7" s="306"/>
      <c r="K7" s="306"/>
      <c r="L7" s="306"/>
      <c r="M7" s="306"/>
      <c r="N7" s="306"/>
      <c r="O7" s="3"/>
      <c r="P7" s="41"/>
      <c r="Q7" s="41"/>
    </row>
    <row r="8" spans="1:15" ht="4.5" customHeight="1">
      <c r="A8" s="112"/>
      <c r="B8" s="112"/>
      <c r="C8" s="112"/>
      <c r="D8" s="112"/>
      <c r="E8" s="113"/>
      <c r="F8" s="114"/>
      <c r="G8" s="115"/>
      <c r="H8" s="116"/>
      <c r="I8" s="116"/>
      <c r="J8" s="116"/>
      <c r="K8" s="116"/>
      <c r="L8" s="116"/>
      <c r="M8" s="116"/>
      <c r="N8" s="116"/>
      <c r="O8" s="117"/>
    </row>
    <row r="9" spans="1:17" ht="15.75" thickBot="1">
      <c r="A9" s="118"/>
      <c r="B9" s="118"/>
      <c r="C9" s="118"/>
      <c r="D9" s="118"/>
      <c r="E9" s="119"/>
      <c r="F9" s="120"/>
      <c r="G9" s="121"/>
      <c r="H9" s="118"/>
      <c r="I9" s="118"/>
      <c r="J9" s="118"/>
      <c r="K9" s="118"/>
      <c r="L9" s="118"/>
      <c r="M9" s="118"/>
      <c r="N9" s="122"/>
      <c r="P9" s="41" t="s">
        <v>1715</v>
      </c>
      <c r="Q9" s="42">
        <f>IF(C4&lt;&gt;"",YEAR(C4)/100+MONTH(C4)/2+DAY(C4),0)</f>
        <v>21.66</v>
      </c>
    </row>
    <row r="10" spans="1:17" ht="23.25" customHeight="1" thickBot="1">
      <c r="A10" s="307" t="s">
        <v>2394</v>
      </c>
      <c r="B10" s="308"/>
      <c r="C10" s="123"/>
      <c r="D10" s="123"/>
      <c r="E10" s="119"/>
      <c r="F10" s="120"/>
      <c r="G10" s="121"/>
      <c r="H10" s="118"/>
      <c r="I10" s="118"/>
      <c r="J10" s="118"/>
      <c r="K10" s="293" t="s">
        <v>597</v>
      </c>
      <c r="L10" s="294"/>
      <c r="M10" s="294"/>
      <c r="N10" s="295"/>
      <c r="P10" s="41" t="s">
        <v>1716</v>
      </c>
      <c r="Q10" s="42">
        <f>IF(F4&lt;&gt;"",YEAR(F4)/100+MONTH(F4)/2+DAY(F4),0)</f>
        <v>57.16</v>
      </c>
    </row>
    <row r="11" spans="1:17" ht="59.25" customHeight="1">
      <c r="A11" s="323" t="s">
        <v>598</v>
      </c>
      <c r="B11" s="324"/>
      <c r="C11" s="324"/>
      <c r="D11" s="324"/>
      <c r="E11" s="324"/>
      <c r="F11" s="324"/>
      <c r="G11" s="324"/>
      <c r="H11" s="324"/>
      <c r="I11" s="324"/>
      <c r="J11" s="324"/>
      <c r="K11" s="324"/>
      <c r="L11" s="324"/>
      <c r="M11" s="324"/>
      <c r="N11" s="324"/>
      <c r="P11" s="41" t="s">
        <v>1717</v>
      </c>
      <c r="Q11" s="42">
        <f>INT(VALUE(C17))</f>
        <v>10</v>
      </c>
    </row>
    <row r="12" spans="4:17" ht="19.5" customHeight="1">
      <c r="D12" s="118"/>
      <c r="E12" s="124" t="s">
        <v>903</v>
      </c>
      <c r="F12" s="335">
        <v>2016</v>
      </c>
      <c r="G12" s="336"/>
      <c r="H12" s="328" t="s">
        <v>788</v>
      </c>
      <c r="I12" s="329"/>
      <c r="J12" s="329"/>
      <c r="K12" s="118"/>
      <c r="L12" s="118"/>
      <c r="M12" s="118"/>
      <c r="N12" s="118"/>
      <c r="P12" s="41" t="s">
        <v>2345</v>
      </c>
      <c r="Q12" s="42">
        <f>INT(VALUE(H27))/10</f>
        <v>346798.8</v>
      </c>
    </row>
    <row r="13" spans="4:17" ht="9.75" customHeight="1">
      <c r="D13" s="118"/>
      <c r="E13" s="124"/>
      <c r="H13" s="17"/>
      <c r="I13" s="125"/>
      <c r="J13" s="125"/>
      <c r="K13" s="118"/>
      <c r="L13" s="118"/>
      <c r="M13" s="118"/>
      <c r="N13" s="118"/>
      <c r="P13" s="41" t="s">
        <v>2346</v>
      </c>
      <c r="Q13" s="42">
        <f>INT(VALUE(M27))/50</f>
        <v>1600147.4</v>
      </c>
    </row>
    <row r="14" spans="1:17" ht="15">
      <c r="A14" s="327" t="s">
        <v>889</v>
      </c>
      <c r="B14" s="327"/>
      <c r="C14" s="327"/>
      <c r="D14" s="126"/>
      <c r="E14" s="127"/>
      <c r="F14" s="325"/>
      <c r="G14" s="326"/>
      <c r="H14" s="326"/>
      <c r="I14" s="118"/>
      <c r="J14" s="333" t="s">
        <v>784</v>
      </c>
      <c r="K14" s="334"/>
      <c r="L14" s="334"/>
      <c r="M14" s="334"/>
      <c r="N14" s="334"/>
      <c r="P14" s="41" t="s">
        <v>893</v>
      </c>
      <c r="Q14" s="42">
        <f>INT(VALUE(C27))/100</f>
        <v>322477959.89</v>
      </c>
    </row>
    <row r="15" spans="1:17" ht="19.5" customHeight="1">
      <c r="A15" s="330">
        <f>SUM(Skriveni!H2:H290)+SUM(Q9:Q70)</f>
        <v>16133088128.24</v>
      </c>
      <c r="B15" s="331"/>
      <c r="C15" s="332"/>
      <c r="D15" s="47"/>
      <c r="E15" s="47"/>
      <c r="F15" s="47"/>
      <c r="G15" s="47"/>
      <c r="H15" s="47"/>
      <c r="I15" s="47"/>
      <c r="J15" s="47"/>
      <c r="K15" s="47"/>
      <c r="L15" s="47"/>
      <c r="M15" s="47"/>
      <c r="N15" s="47"/>
      <c r="P15" s="41" t="s">
        <v>1718</v>
      </c>
      <c r="Q15" s="42">
        <f>LEN(Skriveni!B9)</f>
        <v>18</v>
      </c>
    </row>
    <row r="16" spans="4:17" ht="12.75" customHeight="1">
      <c r="D16" s="47"/>
      <c r="E16" s="47"/>
      <c r="F16" s="47"/>
      <c r="G16" s="47"/>
      <c r="H16" s="47"/>
      <c r="I16" s="47"/>
      <c r="P16" s="41" t="s">
        <v>1719</v>
      </c>
      <c r="Q16" s="42">
        <f>INT(VALUE(C31))/100</f>
        <v>101.1</v>
      </c>
    </row>
    <row r="17" spans="1:17" ht="15" customHeight="1">
      <c r="A17" s="273" t="s">
        <v>2720</v>
      </c>
      <c r="B17" s="274"/>
      <c r="C17" s="24">
        <v>10</v>
      </c>
      <c r="D17" s="337"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8"/>
      <c r="F17" s="338"/>
      <c r="G17" s="338"/>
      <c r="H17" s="338"/>
      <c r="I17" s="338"/>
      <c r="J17" s="338"/>
      <c r="K17" s="338"/>
      <c r="L17" s="338"/>
      <c r="M17" s="338"/>
      <c r="N17" s="338"/>
      <c r="P17" s="41" t="s">
        <v>1720</v>
      </c>
      <c r="Q17" s="42">
        <f>LEN(Skriveni!B11)</f>
        <v>6</v>
      </c>
    </row>
    <row r="18" spans="1:17" ht="7.5" customHeight="1">
      <c r="A18" s="118"/>
      <c r="B18" s="118"/>
      <c r="C18" s="47"/>
      <c r="D18" s="338"/>
      <c r="E18" s="338"/>
      <c r="F18" s="338"/>
      <c r="G18" s="338"/>
      <c r="H18" s="338"/>
      <c r="I18" s="338"/>
      <c r="J18" s="338"/>
      <c r="K18" s="338"/>
      <c r="L18" s="338"/>
      <c r="M18" s="338"/>
      <c r="N18" s="338"/>
      <c r="Q18" s="42"/>
    </row>
    <row r="19" spans="1:17" ht="15" customHeight="1">
      <c r="A19" s="273" t="s">
        <v>891</v>
      </c>
      <c r="B19" s="274"/>
      <c r="C19" s="25">
        <v>2</v>
      </c>
      <c r="D19" s="387" t="str">
        <f>IF(C19="","Svrha predaje nije upisana",IF(ISNA(LOOKUP(C19,A118:A120,A118:A120)),"Nepostojeća ili neprepoznatljiva svrha predaje",IF(LOOKUP(C19,A118:A120,A118:A120)&lt;&gt;C19,"Nepostojeća ili neprepoznatljiva svrha predaje",LOOKUP(C19,A118:A120,B118:B120))))</f>
        <v>Predaja samo u svrhu javne objave</v>
      </c>
      <c r="E19" s="388"/>
      <c r="F19" s="388"/>
      <c r="G19" s="388"/>
      <c r="H19" s="388"/>
      <c r="I19" s="389" t="s">
        <v>946</v>
      </c>
      <c r="J19" s="390"/>
      <c r="K19" s="390"/>
      <c r="L19" s="390"/>
      <c r="M19" s="390"/>
      <c r="N19" s="202" t="s">
        <v>284</v>
      </c>
      <c r="P19" s="41" t="s">
        <v>1721</v>
      </c>
      <c r="Q19" s="42">
        <f>LEN(Skriveni!B12)</f>
        <v>24</v>
      </c>
    </row>
    <row r="20" spans="1:17" ht="4.5" customHeight="1">
      <c r="A20" s="13"/>
      <c r="B20" s="34"/>
      <c r="C20" s="23"/>
      <c r="I20" s="23"/>
      <c r="M20" s="108"/>
      <c r="N20" s="128"/>
      <c r="Q20" s="42"/>
    </row>
    <row r="21" spans="1:17" ht="15" customHeight="1">
      <c r="A21" s="279" t="s">
        <v>794</v>
      </c>
      <c r="B21" s="286"/>
      <c r="C21" s="25" t="s">
        <v>2293</v>
      </c>
      <c r="D21" s="154" t="s">
        <v>797</v>
      </c>
      <c r="E21" s="273" t="s">
        <v>795</v>
      </c>
      <c r="F21" s="304"/>
      <c r="G21" s="304"/>
      <c r="H21" s="346"/>
      <c r="I21" s="25" t="s">
        <v>879</v>
      </c>
      <c r="J21" s="391" t="s">
        <v>796</v>
      </c>
      <c r="K21" s="392"/>
      <c r="L21" s="283" t="s">
        <v>2799</v>
      </c>
      <c r="M21" s="355"/>
      <c r="N21" s="356"/>
      <c r="P21" s="41" t="s">
        <v>1722</v>
      </c>
      <c r="Q21" s="42">
        <f>INT(VALUE(C39))</f>
        <v>133</v>
      </c>
    </row>
    <row r="22" spans="1:17" ht="4.5" customHeight="1">
      <c r="A22" s="16"/>
      <c r="B22" s="16"/>
      <c r="C22" s="16"/>
      <c r="D22" s="16"/>
      <c r="E22" s="16"/>
      <c r="F22" s="16"/>
      <c r="G22" s="16"/>
      <c r="H22" s="16"/>
      <c r="I22" s="16"/>
      <c r="J22" s="16"/>
      <c r="K22" s="16"/>
      <c r="L22" s="16"/>
      <c r="M22" s="16"/>
      <c r="N22" s="16"/>
      <c r="Q22" s="42"/>
    </row>
    <row r="23" spans="1:17" ht="15" customHeight="1">
      <c r="A23" s="279" t="s">
        <v>1464</v>
      </c>
      <c r="B23" s="280"/>
      <c r="C23" s="188">
        <v>1</v>
      </c>
      <c r="D23" s="281"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82"/>
      <c r="F23" s="282"/>
      <c r="G23" s="282"/>
      <c r="H23" s="282"/>
      <c r="I23" s="282"/>
      <c r="J23" s="282"/>
      <c r="K23" s="282"/>
      <c r="L23" s="282"/>
      <c r="M23" s="282"/>
      <c r="N23" s="282"/>
      <c r="P23" s="41" t="s">
        <v>952</v>
      </c>
      <c r="Q23" s="42">
        <f>INT(VALUE(C42))</f>
        <v>6419</v>
      </c>
    </row>
    <row r="24" spans="1:17" ht="9.75" customHeight="1">
      <c r="A24" s="280"/>
      <c r="B24" s="280"/>
      <c r="C24" s="47"/>
      <c r="D24" s="129"/>
      <c r="E24" s="129"/>
      <c r="F24" s="129"/>
      <c r="G24" s="129"/>
      <c r="H24" s="13"/>
      <c r="I24" s="13"/>
      <c r="J24" s="13"/>
      <c r="K24" s="13"/>
      <c r="L24" s="13"/>
      <c r="M24" s="13"/>
      <c r="N24" s="13"/>
      <c r="Q24" s="42"/>
    </row>
    <row r="25" spans="1:17" ht="6" customHeight="1" thickBot="1">
      <c r="A25" s="28"/>
      <c r="B25" s="28"/>
      <c r="C25" s="130"/>
      <c r="D25" s="131"/>
      <c r="E25" s="131"/>
      <c r="F25" s="131"/>
      <c r="G25" s="131"/>
      <c r="H25" s="131"/>
      <c r="I25" s="131"/>
      <c r="J25" s="131"/>
      <c r="K25" s="28"/>
      <c r="L25" s="131"/>
      <c r="M25" s="131"/>
      <c r="N25" s="132"/>
      <c r="Q25" s="42"/>
    </row>
    <row r="26" spans="1:17" ht="6" customHeight="1">
      <c r="A26" s="133"/>
      <c r="B26" s="133"/>
      <c r="C26" s="134"/>
      <c r="D26" s="135"/>
      <c r="E26" s="135"/>
      <c r="F26" s="135"/>
      <c r="G26" s="135"/>
      <c r="H26" s="135"/>
      <c r="I26" s="135"/>
      <c r="J26" s="135"/>
      <c r="K26" s="135"/>
      <c r="L26" s="135"/>
      <c r="M26" s="135"/>
      <c r="N26" s="135"/>
      <c r="Q26" s="42"/>
    </row>
    <row r="27" spans="1:17" ht="15" customHeight="1">
      <c r="A27" s="285" t="s">
        <v>785</v>
      </c>
      <c r="B27" s="357"/>
      <c r="C27" s="283" t="s">
        <v>2800</v>
      </c>
      <c r="D27" s="288"/>
      <c r="E27" s="289"/>
      <c r="F27" s="285" t="s">
        <v>1112</v>
      </c>
      <c r="G27" s="358"/>
      <c r="H27" s="283" t="s">
        <v>2801</v>
      </c>
      <c r="I27" s="284"/>
      <c r="J27" s="285" t="s">
        <v>782</v>
      </c>
      <c r="K27" s="286"/>
      <c r="L27" s="287"/>
      <c r="M27" s="283" t="s">
        <v>2802</v>
      </c>
      <c r="N27" s="284"/>
      <c r="P27" s="41" t="s">
        <v>1723</v>
      </c>
      <c r="Q27" s="42">
        <f>IF(C21="DA",1,0)</f>
        <v>0</v>
      </c>
    </row>
    <row r="28" spans="1:17" ht="9.75" customHeight="1">
      <c r="A28" s="118"/>
      <c r="B28" s="118"/>
      <c r="C28" s="47"/>
      <c r="D28" s="47"/>
      <c r="E28" s="118"/>
      <c r="F28" s="347" t="s">
        <v>786</v>
      </c>
      <c r="G28" s="347"/>
      <c r="H28" s="347"/>
      <c r="I28" s="347"/>
      <c r="J28" s="347" t="s">
        <v>787</v>
      </c>
      <c r="K28" s="347"/>
      <c r="L28" s="347"/>
      <c r="M28" s="347"/>
      <c r="N28" s="347"/>
      <c r="Q28" s="42"/>
    </row>
    <row r="29" spans="1:17" ht="15" customHeight="1">
      <c r="A29" s="273" t="s">
        <v>890</v>
      </c>
      <c r="B29" s="274"/>
      <c r="C29" s="322" t="s">
        <v>2803</v>
      </c>
      <c r="D29" s="359"/>
      <c r="E29" s="359"/>
      <c r="F29" s="359"/>
      <c r="G29" s="359"/>
      <c r="H29" s="359"/>
      <c r="I29" s="359"/>
      <c r="J29" s="359"/>
      <c r="K29" s="359"/>
      <c r="L29" s="360"/>
      <c r="M29" s="47"/>
      <c r="N29" s="47"/>
      <c r="P29" s="41" t="s">
        <v>2003</v>
      </c>
      <c r="Q29" s="42">
        <f>IF(I21="DA",1,0)</f>
        <v>1</v>
      </c>
    </row>
    <row r="30" spans="1:17" ht="4.5" customHeight="1">
      <c r="A30" s="118"/>
      <c r="B30" s="118"/>
      <c r="C30" s="49"/>
      <c r="D30" s="47"/>
      <c r="E30" s="47"/>
      <c r="F30" s="47"/>
      <c r="G30" s="47"/>
      <c r="H30" s="47"/>
      <c r="I30" s="47"/>
      <c r="J30" s="47"/>
      <c r="K30" s="47"/>
      <c r="L30" s="47"/>
      <c r="M30" s="47"/>
      <c r="N30" s="47"/>
      <c r="Q30" s="42"/>
    </row>
    <row r="31" spans="1:17" ht="15" customHeight="1">
      <c r="A31" s="273" t="s">
        <v>1580</v>
      </c>
      <c r="B31" s="274"/>
      <c r="C31" s="56">
        <v>10110</v>
      </c>
      <c r="D31" s="348" t="s">
        <v>1579</v>
      </c>
      <c r="E31" s="349"/>
      <c r="F31" s="322" t="s">
        <v>2634</v>
      </c>
      <c r="G31" s="350"/>
      <c r="H31" s="350"/>
      <c r="I31" s="350"/>
      <c r="J31" s="350"/>
      <c r="K31" s="350"/>
      <c r="L31" s="351"/>
      <c r="N31" s="47"/>
      <c r="P31" s="41" t="s">
        <v>2615</v>
      </c>
      <c r="Q31" s="42">
        <f>INT(VALUE(C19))</f>
        <v>2</v>
      </c>
    </row>
    <row r="32" spans="1:17" ht="4.5" customHeight="1">
      <c r="A32" s="118"/>
      <c r="B32" s="118"/>
      <c r="C32" s="47"/>
      <c r="D32" s="47"/>
      <c r="E32" s="47"/>
      <c r="F32" s="47"/>
      <c r="G32" s="47"/>
      <c r="H32" s="47"/>
      <c r="I32" s="47"/>
      <c r="J32" s="47"/>
      <c r="K32" s="47"/>
      <c r="L32" s="47"/>
      <c r="M32" s="47"/>
      <c r="N32" s="47"/>
      <c r="Q32" s="42"/>
    </row>
    <row r="33" spans="1:17" ht="15" customHeight="1">
      <c r="A33" s="273" t="s">
        <v>1923</v>
      </c>
      <c r="B33" s="274"/>
      <c r="C33" s="322" t="s">
        <v>2804</v>
      </c>
      <c r="D33" s="359"/>
      <c r="E33" s="359"/>
      <c r="F33" s="359"/>
      <c r="G33" s="359"/>
      <c r="H33" s="359"/>
      <c r="I33" s="359"/>
      <c r="J33" s="359"/>
      <c r="K33" s="359"/>
      <c r="L33" s="360"/>
      <c r="M33" s="47"/>
      <c r="N33" s="47"/>
      <c r="P33" s="41" t="s">
        <v>2004</v>
      </c>
      <c r="Q33" s="42">
        <f>INT(VALUE(Skriveni!B21))</f>
        <v>3</v>
      </c>
    </row>
    <row r="34" spans="1:17" ht="4.5" customHeight="1">
      <c r="A34" s="118"/>
      <c r="B34" s="118"/>
      <c r="C34" s="47"/>
      <c r="D34" s="47"/>
      <c r="E34" s="47"/>
      <c r="F34" s="47"/>
      <c r="G34" s="47"/>
      <c r="H34" s="47"/>
      <c r="I34" s="47"/>
      <c r="J34" s="47"/>
      <c r="K34" s="47"/>
      <c r="L34" s="47"/>
      <c r="M34" s="47"/>
      <c r="N34" s="47"/>
      <c r="Q34" s="42"/>
    </row>
    <row r="35" spans="1:17" ht="15" customHeight="1">
      <c r="A35" s="273" t="s">
        <v>1581</v>
      </c>
      <c r="B35" s="274"/>
      <c r="C35" s="352" t="s">
        <v>2805</v>
      </c>
      <c r="D35" s="353"/>
      <c r="E35" s="353"/>
      <c r="F35" s="353"/>
      <c r="G35" s="353"/>
      <c r="H35" s="353"/>
      <c r="I35" s="354"/>
      <c r="J35" s="274" t="s">
        <v>155</v>
      </c>
      <c r="K35" s="361"/>
      <c r="L35" s="283" t="s">
        <v>2806</v>
      </c>
      <c r="M35" s="355"/>
      <c r="N35" s="289"/>
      <c r="O35" s="41"/>
      <c r="P35" s="41" t="s">
        <v>2660</v>
      </c>
      <c r="Q35" s="42">
        <f>INT(VALUE(C52))</f>
        <v>11</v>
      </c>
    </row>
    <row r="36" spans="1:17" ht="4.5" customHeight="1">
      <c r="A36" s="118"/>
      <c r="B36" s="118"/>
      <c r="C36" s="49"/>
      <c r="D36" s="47"/>
      <c r="E36" s="47"/>
      <c r="F36" s="47"/>
      <c r="G36" s="47"/>
      <c r="H36" s="47"/>
      <c r="I36" s="47"/>
      <c r="J36" s="47"/>
      <c r="K36" s="47"/>
      <c r="L36" s="47"/>
      <c r="M36" s="47"/>
      <c r="N36" s="47"/>
      <c r="Q36" s="42"/>
    </row>
    <row r="37" spans="1:17" ht="15" customHeight="1">
      <c r="A37" s="273" t="s">
        <v>1489</v>
      </c>
      <c r="B37" s="274"/>
      <c r="C37" s="342" t="s">
        <v>2807</v>
      </c>
      <c r="D37" s="343"/>
      <c r="E37" s="343"/>
      <c r="F37" s="343"/>
      <c r="G37" s="343"/>
      <c r="H37" s="343"/>
      <c r="I37" s="344"/>
      <c r="P37" s="41" t="s">
        <v>2005</v>
      </c>
      <c r="Q37" s="42">
        <f>C54*2+F54</f>
        <v>200</v>
      </c>
    </row>
    <row r="38" spans="1:17" ht="4.5" customHeight="1">
      <c r="A38" s="118"/>
      <c r="B38" s="118"/>
      <c r="C38" s="49"/>
      <c r="D38" s="47"/>
      <c r="E38" s="47"/>
      <c r="F38" s="47"/>
      <c r="G38" s="47"/>
      <c r="H38" s="47"/>
      <c r="I38" s="47"/>
      <c r="J38" s="47"/>
      <c r="K38" s="47"/>
      <c r="L38" s="47"/>
      <c r="M38" s="47"/>
      <c r="N38" s="47"/>
      <c r="Q38" s="42"/>
    </row>
    <row r="39" spans="1:17" ht="15" customHeight="1">
      <c r="A39" s="273" t="s">
        <v>739</v>
      </c>
      <c r="B39" s="274"/>
      <c r="C39" s="29">
        <v>133</v>
      </c>
      <c r="D39" s="339" t="str">
        <f>IF(C39="","Šifra grada/općine nije upisana",IF(ISNA(LOOKUP(C39,A177:A732,A177:A732)),"Šifra grada/općine ne postoji",IF(LOOKUP(C39,A177:A732,A177:A732)&lt;&gt;C39,"Šifra grada/općine ne postoji",LOOKUP(C39,A177:A732,B177:B732))))</f>
        <v>Zagreb</v>
      </c>
      <c r="E39" s="340"/>
      <c r="F39" s="340"/>
      <c r="G39" s="340"/>
      <c r="H39" s="279" t="s">
        <v>2430</v>
      </c>
      <c r="I39" s="287"/>
      <c r="J39" s="45">
        <f>IF(C39&gt;0,LOOKUP(C39,A177:A732,C176:C731),"")</f>
        <v>21</v>
      </c>
      <c r="K39" s="363" t="str">
        <f>IF(J39="","Treba prvo upisati šifru grada/općine",LOOKUP(J39,A153:A173,B153:B173))</f>
        <v>GRAD ZAGREB</v>
      </c>
      <c r="L39" s="363"/>
      <c r="M39" s="363"/>
      <c r="N39" s="363"/>
      <c r="P39" s="41" t="s">
        <v>2006</v>
      </c>
      <c r="Q39" s="42">
        <f>C56+2*F56+3*C58+4*F58</f>
        <v>2114</v>
      </c>
    </row>
    <row r="40" spans="1:17" ht="6" customHeight="1" thickBot="1">
      <c r="A40" s="136"/>
      <c r="B40" s="136"/>
      <c r="C40" s="137"/>
      <c r="D40" s="138"/>
      <c r="E40" s="139"/>
      <c r="F40" s="139"/>
      <c r="G40" s="139"/>
      <c r="H40" s="26"/>
      <c r="I40" s="140"/>
      <c r="J40" s="140"/>
      <c r="K40" s="140"/>
      <c r="L40" s="140"/>
      <c r="M40" s="140"/>
      <c r="N40" s="140"/>
      <c r="Q40" s="42"/>
    </row>
    <row r="41" spans="1:17" ht="6" customHeight="1">
      <c r="A41" s="141"/>
      <c r="B41" s="141"/>
      <c r="C41" s="133"/>
      <c r="D41" s="142"/>
      <c r="E41" s="143"/>
      <c r="F41" s="143"/>
      <c r="G41" s="143"/>
      <c r="H41" s="27"/>
      <c r="I41" s="144"/>
      <c r="J41" s="144"/>
      <c r="K41" s="144"/>
      <c r="L41" s="144"/>
      <c r="M41" s="144"/>
      <c r="N41" s="144"/>
      <c r="Q41" s="42"/>
    </row>
    <row r="42" spans="1:17" ht="15" customHeight="1">
      <c r="A42" s="273" t="s">
        <v>623</v>
      </c>
      <c r="B42" s="274"/>
      <c r="C42" s="30" t="s">
        <v>1067</v>
      </c>
      <c r="D42" s="368" t="str">
        <f>IF(C42="","Šifra NKD-a nije upisana",IF(ISNA(LOOKUP(C42,A736:A1351,A736:A1351)),"Šifra NKD-a ne postoji",IF(LOOKUP(C42,A736:A1351,A736:A1351)&lt;&gt;C42,"Šifra NKD-a ne postoji",LOOKUP(C42,A736:A1351,B736:B1351))))</f>
        <v>Ostalo novčarsko posredovanje</v>
      </c>
      <c r="E42" s="369"/>
      <c r="F42" s="369"/>
      <c r="G42" s="370"/>
      <c r="H42" s="369"/>
      <c r="I42" s="369"/>
      <c r="J42" s="369"/>
      <c r="K42" s="369"/>
      <c r="L42" s="369"/>
      <c r="M42" s="369"/>
      <c r="N42" s="369"/>
      <c r="P42" s="41" t="s">
        <v>2007</v>
      </c>
      <c r="Q42" s="42">
        <f>C60*2+F60</f>
        <v>36</v>
      </c>
    </row>
    <row r="43" spans="1:17" ht="4.5" customHeight="1">
      <c r="A43" s="118"/>
      <c r="B43" s="118"/>
      <c r="C43" s="47"/>
      <c r="D43" s="47"/>
      <c r="E43" s="47"/>
      <c r="F43" s="47"/>
      <c r="G43" s="47"/>
      <c r="H43" s="47"/>
      <c r="I43" s="47"/>
      <c r="J43" s="47"/>
      <c r="K43" s="47"/>
      <c r="L43" s="47"/>
      <c r="M43" s="47"/>
      <c r="N43" s="118"/>
      <c r="Q43" s="42"/>
    </row>
    <row r="44" spans="1:17" ht="4.5" customHeight="1">
      <c r="A44" s="345" t="s">
        <v>738</v>
      </c>
      <c r="B44" s="345"/>
      <c r="C44" s="196"/>
      <c r="D44" s="371"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Status autonomnosti nije upisan</v>
      </c>
      <c r="E44" s="371"/>
      <c r="F44" s="371"/>
      <c r="G44" s="371"/>
      <c r="H44" s="371"/>
      <c r="I44" s="371"/>
      <c r="J44" s="371"/>
      <c r="K44" s="371"/>
      <c r="L44" s="371"/>
      <c r="M44" s="371"/>
      <c r="N44" s="371"/>
      <c r="Q44" s="42"/>
    </row>
    <row r="45" spans="1:17" ht="4.5" customHeight="1">
      <c r="A45" s="194"/>
      <c r="B45" s="194"/>
      <c r="C45" s="40"/>
      <c r="D45" s="197"/>
      <c r="E45" s="198"/>
      <c r="F45" s="198"/>
      <c r="G45" s="198"/>
      <c r="H45" s="199"/>
      <c r="I45" s="200"/>
      <c r="J45" s="200"/>
      <c r="K45" s="200"/>
      <c r="L45" s="200"/>
      <c r="M45" s="200"/>
      <c r="N45" s="200"/>
      <c r="Q45" s="42"/>
    </row>
    <row r="46" spans="1:17" ht="4.5" customHeight="1">
      <c r="A46" s="366" t="s">
        <v>783</v>
      </c>
      <c r="B46" s="366"/>
      <c r="C46" s="195"/>
      <c r="D46" s="378">
        <f>IF(C46="","",IF(ISNA(LOOKUP(C46,A1355:A1603,A1355:A1603)),"Šifra države nepostojeća",IF(LOOKUP(C46,A1355:A1603,A1355:A1603)&lt;&gt;C46,"Šifra države nepostojeća",LOOKUP(C46,A1355:A1603,B1355:B1603))))</f>
      </c>
      <c r="E46" s="378"/>
      <c r="F46" s="378"/>
      <c r="G46" s="378"/>
      <c r="H46" s="378"/>
      <c r="I46" s="378"/>
      <c r="J46" s="366" t="s">
        <v>740</v>
      </c>
      <c r="K46" s="367"/>
      <c r="L46" s="367"/>
      <c r="M46" s="377"/>
      <c r="N46" s="377"/>
      <c r="Q46" s="42"/>
    </row>
    <row r="47" spans="1:17" ht="4.5" customHeight="1">
      <c r="A47" s="367"/>
      <c r="B47" s="367"/>
      <c r="C47" s="40"/>
      <c r="D47" s="197"/>
      <c r="E47" s="198"/>
      <c r="F47" s="198"/>
      <c r="G47" s="198"/>
      <c r="H47" s="199"/>
      <c r="I47" s="200"/>
      <c r="J47" s="367"/>
      <c r="K47" s="367"/>
      <c r="L47" s="367"/>
      <c r="M47" s="200"/>
      <c r="N47" s="200"/>
      <c r="Q47" s="42"/>
    </row>
    <row r="48" spans="1:17" ht="6" customHeight="1" thickBot="1">
      <c r="A48" s="136"/>
      <c r="B48" s="136"/>
      <c r="C48" s="137"/>
      <c r="D48" s="138"/>
      <c r="E48" s="139"/>
      <c r="F48" s="139"/>
      <c r="G48" s="139"/>
      <c r="H48" s="26"/>
      <c r="I48" s="140"/>
      <c r="J48" s="140"/>
      <c r="K48" s="140"/>
      <c r="L48" s="140"/>
      <c r="M48" s="140"/>
      <c r="N48" s="140"/>
      <c r="Q48" s="42"/>
    </row>
    <row r="49" spans="1:17" ht="6" customHeight="1">
      <c r="A49" s="141"/>
      <c r="B49" s="141"/>
      <c r="C49" s="133"/>
      <c r="D49" s="142"/>
      <c r="E49" s="143"/>
      <c r="F49" s="143"/>
      <c r="G49" s="143"/>
      <c r="H49" s="27"/>
      <c r="I49" s="144"/>
      <c r="J49" s="144"/>
      <c r="K49" s="144"/>
      <c r="L49" s="144"/>
      <c r="M49" s="144"/>
      <c r="N49" s="144"/>
      <c r="Q49" s="42"/>
    </row>
    <row r="50" spans="1:17" ht="15" customHeight="1">
      <c r="A50" s="364" t="s">
        <v>892</v>
      </c>
      <c r="B50" s="365"/>
      <c r="C50" s="202">
        <v>4</v>
      </c>
      <c r="D50" s="385" t="str">
        <f>IF(C50="","Oznaka veličine nije upisana",IF(ISNA(LOOKUP(C50,A124:A127,A124:A127)),"Nepostojeća oznaka veličine",IF(LOOKUP(C50,A124:A127,A124:A127)&lt;&gt;C50,"Nepostojeća oznaka veličine",LOOKUP(C50,A124:A127,B124:B127))))</f>
        <v>Veliki poduzetnik (definirano Zakonom)</v>
      </c>
      <c r="E50" s="386"/>
      <c r="F50" s="386"/>
      <c r="G50" s="386"/>
      <c r="H50" s="386"/>
      <c r="I50" s="383" t="s">
        <v>732</v>
      </c>
      <c r="J50" s="384"/>
      <c r="K50" s="384"/>
      <c r="O50" s="145"/>
      <c r="P50" s="41" t="s">
        <v>408</v>
      </c>
      <c r="Q50" s="42">
        <f>LEN(Skriveni!B43)</f>
        <v>13</v>
      </c>
    </row>
    <row r="51" spans="1:17" ht="4.5" customHeight="1">
      <c r="A51" s="118"/>
      <c r="B51" s="118"/>
      <c r="C51" s="47"/>
      <c r="D51" s="129"/>
      <c r="E51" s="129"/>
      <c r="F51" s="129"/>
      <c r="G51" s="129"/>
      <c r="H51" s="146"/>
      <c r="I51" s="47"/>
      <c r="J51" s="145"/>
      <c r="K51" s="145"/>
      <c r="L51" s="145"/>
      <c r="M51" s="145"/>
      <c r="N51" s="145"/>
      <c r="O51" s="145"/>
      <c r="Q51" s="42"/>
    </row>
    <row r="52" spans="1:17" ht="15" customHeight="1">
      <c r="A52" s="273" t="s">
        <v>2719</v>
      </c>
      <c r="B52" s="274"/>
      <c r="C52" s="203">
        <v>11</v>
      </c>
      <c r="D52" s="341" t="str">
        <f>IF(C52="","Oznaka vlasništva nije upisana",IF(ISNA(LOOKUP(C52,A80:A87,A80:A87)),"Nepostojeća oznaka vlasništva",IF(LOOKUP(C52,A80:A87,A80:A87)&lt;&gt;C52,"Nepostojeća oznaka vlasništva",LOOKUP(C52,A80:A87,B80:B87))))</f>
        <v>Državno vlasništvo (javno, komunalno i slično)</v>
      </c>
      <c r="E52" s="304"/>
      <c r="F52" s="304"/>
      <c r="G52" s="304"/>
      <c r="H52" s="304"/>
      <c r="I52" s="5" t="str">
        <f>IF(OR(Bilanca!Q1=1,RDG!Q1=1,N6="NE"),"DA","NE")</f>
        <v>DA</v>
      </c>
      <c r="J52" s="362" t="s">
        <v>2053</v>
      </c>
      <c r="K52" s="318"/>
      <c r="L52" s="318"/>
      <c r="M52" s="318"/>
      <c r="N52" s="318"/>
      <c r="O52" s="145"/>
      <c r="P52" s="43" t="s">
        <v>2008</v>
      </c>
      <c r="Q52" s="44">
        <f>INT(VALUE(L21))/100</f>
        <v>116864577.8</v>
      </c>
    </row>
    <row r="53" spans="1:15" ht="4.5" customHeight="1">
      <c r="A53" s="118"/>
      <c r="B53" s="118"/>
      <c r="C53" s="47"/>
      <c r="D53" s="129"/>
      <c r="E53" s="129"/>
      <c r="F53" s="129"/>
      <c r="G53" s="129"/>
      <c r="H53" s="146"/>
      <c r="I53" s="47"/>
      <c r="J53" s="147"/>
      <c r="K53" s="147"/>
      <c r="L53" s="147"/>
      <c r="M53" s="147"/>
      <c r="N53" s="147"/>
      <c r="O53" s="145"/>
    </row>
    <row r="54" spans="1:17" ht="15" customHeight="1">
      <c r="A54" s="273" t="s">
        <v>798</v>
      </c>
      <c r="B54" s="274"/>
      <c r="C54" s="29">
        <v>100</v>
      </c>
      <c r="D54" s="46" t="s">
        <v>799</v>
      </c>
      <c r="F54" s="29">
        <v>0</v>
      </c>
      <c r="G54" s="46" t="s">
        <v>800</v>
      </c>
      <c r="H54" s="47"/>
      <c r="I54" s="5" t="str">
        <f>IF(OR(Dodatni!Q1=1,N6="NE"),"DA","NE")</f>
        <v>NE</v>
      </c>
      <c r="J54" s="362" t="s">
        <v>1234</v>
      </c>
      <c r="K54" s="318"/>
      <c r="L54" s="318"/>
      <c r="M54" s="318"/>
      <c r="N54" s="318"/>
      <c r="O54" s="145"/>
      <c r="P54" s="41" t="s">
        <v>279</v>
      </c>
      <c r="Q54" s="82">
        <f>IF(N6="DA",0.1,IF(N6="NE",0.2,0))</f>
        <v>0.1</v>
      </c>
    </row>
    <row r="55" spans="1:15" ht="4.5" customHeight="1">
      <c r="A55" s="148"/>
      <c r="B55" s="148"/>
      <c r="D55" s="48"/>
      <c r="F55" s="49"/>
      <c r="G55" s="49"/>
      <c r="H55" s="49"/>
      <c r="I55" s="49"/>
      <c r="J55" s="147"/>
      <c r="K55" s="147"/>
      <c r="L55" s="147"/>
      <c r="M55" s="147"/>
      <c r="N55" s="147"/>
      <c r="O55" s="145"/>
    </row>
    <row r="56" spans="1:15" ht="15" customHeight="1">
      <c r="A56" s="279" t="s">
        <v>2434</v>
      </c>
      <c r="B56" s="311"/>
      <c r="C56" s="31">
        <v>221</v>
      </c>
      <c r="D56" s="277" t="s">
        <v>1704</v>
      </c>
      <c r="E56" s="393"/>
      <c r="F56" s="31">
        <v>217</v>
      </c>
      <c r="G56" s="277" t="s">
        <v>1705</v>
      </c>
      <c r="H56" s="278"/>
      <c r="I56" s="231" t="s">
        <v>879</v>
      </c>
      <c r="J56" s="318" t="s">
        <v>2681</v>
      </c>
      <c r="K56" s="318"/>
      <c r="L56" s="318"/>
      <c r="M56" s="318"/>
      <c r="N56" s="318"/>
      <c r="O56" s="145"/>
    </row>
    <row r="57" spans="1:15" ht="4.5" customHeight="1">
      <c r="A57" s="149"/>
      <c r="B57" s="149"/>
      <c r="G57" s="50"/>
      <c r="H57" s="50"/>
      <c r="I57" s="49"/>
      <c r="J57" s="147"/>
      <c r="K57" s="147"/>
      <c r="L57" s="147"/>
      <c r="M57" s="147"/>
      <c r="N57" s="147"/>
      <c r="O57" s="145"/>
    </row>
    <row r="58" spans="1:15" ht="15" customHeight="1">
      <c r="A58" s="275" t="s">
        <v>2435</v>
      </c>
      <c r="B58" s="276"/>
      <c r="C58" s="31">
        <v>209</v>
      </c>
      <c r="D58" s="290" t="s">
        <v>1704</v>
      </c>
      <c r="E58" s="290"/>
      <c r="F58" s="31">
        <v>208</v>
      </c>
      <c r="G58" s="290" t="s">
        <v>1705</v>
      </c>
      <c r="H58" s="290"/>
      <c r="I58" s="5" t="str">
        <f>IF(OR(NT_I!Q1&lt;&gt;0,NT_D!Q1&lt;&gt;0),"DA","NE")</f>
        <v>DA</v>
      </c>
      <c r="J58" s="362" t="s">
        <v>875</v>
      </c>
      <c r="K58" s="318"/>
      <c r="L58" s="318"/>
      <c r="M58" s="318"/>
      <c r="N58" s="318"/>
      <c r="O58" s="145"/>
    </row>
    <row r="59" spans="1:15" ht="4.5" customHeight="1">
      <c r="A59" s="275"/>
      <c r="B59" s="275"/>
      <c r="G59" s="51"/>
      <c r="H59" s="51"/>
      <c r="I59" s="150"/>
      <c r="J59" s="147"/>
      <c r="K59" s="147"/>
      <c r="L59" s="147"/>
      <c r="M59" s="147"/>
      <c r="N59" s="147"/>
      <c r="O59" s="145"/>
    </row>
    <row r="60" spans="1:15" ht="15" customHeight="1">
      <c r="A60" s="279" t="s">
        <v>153</v>
      </c>
      <c r="B60" s="285"/>
      <c r="C60" s="31">
        <v>12</v>
      </c>
      <c r="D60" s="290" t="s">
        <v>1704</v>
      </c>
      <c r="E60" s="290"/>
      <c r="F60" s="31">
        <v>12</v>
      </c>
      <c r="G60" s="290" t="s">
        <v>1705</v>
      </c>
      <c r="H60" s="290"/>
      <c r="I60" s="5" t="str">
        <f>IF(PK!S1=1,"DA","NE")</f>
        <v>DA</v>
      </c>
      <c r="J60" s="318" t="s">
        <v>661</v>
      </c>
      <c r="K60" s="318"/>
      <c r="L60" s="318"/>
      <c r="M60" s="318"/>
      <c r="N60" s="318"/>
      <c r="O60" s="145"/>
    </row>
    <row r="61" spans="1:15" ht="9.75" customHeight="1" thickBot="1">
      <c r="A61" s="118"/>
      <c r="B61" s="118"/>
      <c r="I61" s="47"/>
      <c r="J61" s="147"/>
      <c r="K61" s="147"/>
      <c r="L61" s="147"/>
      <c r="M61" s="147"/>
      <c r="N61" s="147"/>
      <c r="O61" s="145"/>
    </row>
    <row r="62" spans="1:17" ht="15" customHeight="1">
      <c r="A62" s="151" t="s">
        <v>2431</v>
      </c>
      <c r="B62" s="151"/>
      <c r="C62" s="151"/>
      <c r="D62" s="151"/>
      <c r="I62" s="231" t="s">
        <v>879</v>
      </c>
      <c r="J62" s="318" t="s">
        <v>894</v>
      </c>
      <c r="K62" s="318"/>
      <c r="L62" s="318"/>
      <c r="M62" s="318"/>
      <c r="N62" s="318"/>
      <c r="O62" s="145"/>
      <c r="P62" s="41" t="s">
        <v>280</v>
      </c>
      <c r="Q62" s="41">
        <f>IF(N19="HSFI",1.1,IF(N19="MSFI",1.2,0))</f>
        <v>1.2</v>
      </c>
    </row>
    <row r="63" spans="1:15" ht="4.5" customHeight="1">
      <c r="A63" s="118"/>
      <c r="B63" s="118"/>
      <c r="C63" s="49"/>
      <c r="D63" s="47"/>
      <c r="E63" s="49"/>
      <c r="F63" s="47"/>
      <c r="G63" s="118"/>
      <c r="H63" s="118"/>
      <c r="I63" s="47"/>
      <c r="J63" s="147"/>
      <c r="K63" s="147"/>
      <c r="L63" s="147"/>
      <c r="M63" s="147"/>
      <c r="N63" s="147"/>
      <c r="O63" s="145"/>
    </row>
    <row r="64" spans="1:17" ht="15" customHeight="1">
      <c r="A64" s="33" t="s">
        <v>2432</v>
      </c>
      <c r="B64" s="30"/>
      <c r="C64" s="372" t="s">
        <v>1095</v>
      </c>
      <c r="D64" s="304"/>
      <c r="E64" s="304"/>
      <c r="F64" s="304"/>
      <c r="G64" s="118"/>
      <c r="H64" s="118"/>
      <c r="I64" s="231" t="s">
        <v>879</v>
      </c>
      <c r="J64" s="318" t="s">
        <v>895</v>
      </c>
      <c r="K64" s="318"/>
      <c r="L64" s="318"/>
      <c r="M64" s="318"/>
      <c r="N64" s="318"/>
      <c r="O64" s="145"/>
      <c r="P64" s="109" t="s">
        <v>2758</v>
      </c>
      <c r="Q64" s="109">
        <f>C44/10</f>
        <v>0</v>
      </c>
    </row>
    <row r="65" spans="1:15" ht="4.5" customHeight="1">
      <c r="A65" s="128"/>
      <c r="B65" s="128"/>
      <c r="G65" s="118"/>
      <c r="H65" s="118"/>
      <c r="I65" s="47"/>
      <c r="J65" s="147"/>
      <c r="K65" s="147"/>
      <c r="L65" s="147"/>
      <c r="M65" s="147"/>
      <c r="N65" s="147"/>
      <c r="O65" s="145"/>
    </row>
    <row r="66" spans="1:17" ht="15" customHeight="1">
      <c r="A66" s="32" t="s">
        <v>2433</v>
      </c>
      <c r="B66" s="373"/>
      <c r="C66" s="343"/>
      <c r="D66" s="343"/>
      <c r="E66" s="343"/>
      <c r="F66" s="343"/>
      <c r="G66" s="344"/>
      <c r="H66" s="152"/>
      <c r="I66" s="231" t="s">
        <v>879</v>
      </c>
      <c r="J66" s="318" t="s">
        <v>730</v>
      </c>
      <c r="K66" s="318"/>
      <c r="L66" s="318"/>
      <c r="M66" s="318"/>
      <c r="N66" s="318"/>
      <c r="O66" s="145"/>
      <c r="P66" s="109" t="s">
        <v>2330</v>
      </c>
      <c r="Q66" s="109">
        <f>C46/20</f>
        <v>0</v>
      </c>
    </row>
    <row r="67" spans="3:15" ht="10.5" customHeight="1">
      <c r="C67" s="382"/>
      <c r="D67" s="380"/>
      <c r="E67" s="380"/>
      <c r="F67" s="380"/>
      <c r="G67" s="380"/>
      <c r="H67" s="381"/>
      <c r="I67" s="47"/>
      <c r="J67" s="319"/>
      <c r="K67" s="319"/>
      <c r="L67" s="319"/>
      <c r="M67" s="319"/>
      <c r="N67" s="319"/>
      <c r="O67" s="145"/>
    </row>
    <row r="68" spans="1:17" ht="15" customHeight="1">
      <c r="A68" s="279" t="s">
        <v>154</v>
      </c>
      <c r="B68" s="311"/>
      <c r="C68" s="322" t="s">
        <v>2808</v>
      </c>
      <c r="D68" s="320"/>
      <c r="E68" s="320"/>
      <c r="F68" s="320"/>
      <c r="G68" s="321"/>
      <c r="H68" s="152"/>
      <c r="I68" s="231" t="s">
        <v>879</v>
      </c>
      <c r="J68" s="318" t="s">
        <v>731</v>
      </c>
      <c r="K68" s="318"/>
      <c r="L68" s="318"/>
      <c r="M68" s="318"/>
      <c r="N68" s="318"/>
      <c r="O68" s="23"/>
      <c r="P68" s="109" t="s">
        <v>2331</v>
      </c>
      <c r="Q68" s="109">
        <f>IF(ISERROR(INT(M46)),LEN(M46),INT(M46)/100)</f>
        <v>0</v>
      </c>
    </row>
    <row r="69" spans="3:15" ht="9.75" customHeight="1">
      <c r="C69" s="315" t="s">
        <v>1582</v>
      </c>
      <c r="D69" s="380"/>
      <c r="E69" s="380"/>
      <c r="F69" s="380"/>
      <c r="G69" s="380"/>
      <c r="H69" s="381"/>
      <c r="I69" s="47"/>
      <c r="J69" s="319"/>
      <c r="K69" s="319"/>
      <c r="L69" s="319"/>
      <c r="M69" s="319"/>
      <c r="N69" s="319"/>
      <c r="O69" s="23"/>
    </row>
    <row r="70" spans="1:17" ht="15" customHeight="1">
      <c r="A70" s="279" t="s">
        <v>801</v>
      </c>
      <c r="B70" s="311"/>
      <c r="C70" s="312" t="s">
        <v>2809</v>
      </c>
      <c r="D70" s="313"/>
      <c r="E70" s="314"/>
      <c r="F70" s="47"/>
      <c r="G70" s="118"/>
      <c r="H70" s="118"/>
      <c r="I70" s="118"/>
      <c r="J70" s="118"/>
      <c r="K70" s="118"/>
      <c r="L70" s="118"/>
      <c r="M70" s="118"/>
      <c r="N70" s="47"/>
      <c r="O70" s="23"/>
      <c r="P70" s="41" t="s">
        <v>2503</v>
      </c>
      <c r="Q70" s="41">
        <f>C23/50</f>
        <v>0.02</v>
      </c>
    </row>
    <row r="71" spans="1:14" ht="9.75" customHeight="1">
      <c r="A71" s="118"/>
      <c r="B71" s="118"/>
      <c r="C71" s="379" t="s">
        <v>1608</v>
      </c>
      <c r="D71" s="304"/>
      <c r="E71" s="304"/>
      <c r="F71" s="304"/>
      <c r="G71" s="304"/>
      <c r="H71" s="304"/>
      <c r="I71" s="118"/>
      <c r="J71" s="118"/>
      <c r="K71" s="118"/>
      <c r="L71" s="118"/>
      <c r="M71" s="118"/>
      <c r="N71" s="47"/>
    </row>
    <row r="72" spans="1:14" ht="15" customHeight="1">
      <c r="A72" s="279" t="s">
        <v>1924</v>
      </c>
      <c r="B72" s="311"/>
      <c r="C72" s="376" t="s">
        <v>2810</v>
      </c>
      <c r="D72" s="320"/>
      <c r="E72" s="320"/>
      <c r="F72" s="320"/>
      <c r="G72" s="320"/>
      <c r="H72" s="321"/>
      <c r="I72" s="118"/>
      <c r="J72" s="118"/>
      <c r="K72" s="118"/>
      <c r="N72" s="14" t="str">
        <f>"Verzija Excel datoteke: "&amp;MID(Skriveni!B4,1,1)&amp;"."&amp;MID(Skriveni!B4,2,1)&amp;"."&amp;MID(Skriveni!B4,3,1)&amp;"."</f>
        <v>Verzija Excel datoteke: 3.0.2.</v>
      </c>
    </row>
    <row r="73" spans="1:14" ht="9.75" customHeight="1">
      <c r="A73" s="16"/>
      <c r="B73" s="16"/>
      <c r="C73" s="315" t="s">
        <v>1463</v>
      </c>
      <c r="D73" s="315"/>
      <c r="E73" s="315"/>
      <c r="F73" s="315"/>
      <c r="G73" s="315"/>
      <c r="H73" s="315"/>
      <c r="I73" s="16"/>
      <c r="J73" s="16"/>
      <c r="K73" s="16"/>
      <c r="L73" s="16"/>
      <c r="M73" s="16"/>
      <c r="N73" s="16"/>
    </row>
    <row r="74" spans="1:14" ht="30" customHeight="1">
      <c r="A74" s="118"/>
      <c r="B74" s="118"/>
      <c r="C74" s="118"/>
      <c r="D74" s="118"/>
      <c r="E74" s="118"/>
      <c r="F74" s="118"/>
      <c r="G74" s="118"/>
      <c r="H74" s="118"/>
      <c r="I74" s="118"/>
      <c r="J74" s="118"/>
      <c r="K74" s="118"/>
      <c r="L74" s="118"/>
      <c r="M74" s="118"/>
      <c r="N74" s="47"/>
    </row>
    <row r="75" spans="1:14" ht="15" customHeight="1" thickBot="1">
      <c r="A75" s="312" t="s">
        <v>2811</v>
      </c>
      <c r="B75" s="320"/>
      <c r="C75" s="320"/>
      <c r="D75" s="320"/>
      <c r="E75" s="321"/>
      <c r="I75" s="118"/>
      <c r="J75" s="118"/>
      <c r="K75" s="118"/>
      <c r="L75" s="118"/>
      <c r="M75" s="118"/>
      <c r="N75" s="118"/>
    </row>
    <row r="76" spans="1:14" ht="9.75" customHeight="1">
      <c r="A76" s="316" t="s">
        <v>802</v>
      </c>
      <c r="B76" s="317"/>
      <c r="C76" s="317"/>
      <c r="D76" s="317"/>
      <c r="E76" s="317"/>
      <c r="I76" s="118"/>
      <c r="J76" s="309" t="s">
        <v>2395</v>
      </c>
      <c r="K76" s="310"/>
      <c r="L76" s="310"/>
      <c r="M76" s="310"/>
      <c r="N76" s="310"/>
    </row>
    <row r="77" spans="2:14" ht="15" customHeight="1">
      <c r="B77" s="118"/>
      <c r="C77" s="118"/>
      <c r="D77" s="118"/>
      <c r="E77" s="118"/>
      <c r="F77" s="118"/>
      <c r="G77" s="118"/>
      <c r="H77" s="153"/>
      <c r="M77" s="118"/>
      <c r="N77" s="47"/>
    </row>
    <row r="78" spans="1:14" ht="12" customHeight="1">
      <c r="A78" s="374">
        <f>IF(ISERROR(Kont!J4),"Postoje neke pogreške u Excel datoteci, takva neće moći biti učitana!!!",IF(Kont!J4&gt;0,"Obrazac još uvijek sadrži neke pogreške! Ako ste završili s popunjavanjem, provjerite radni list Kont. Broj pogreški: "&amp;Kont!J4,""))</f>
      </c>
      <c r="B78" s="375"/>
      <c r="C78" s="375"/>
      <c r="D78" s="375"/>
      <c r="E78" s="375"/>
      <c r="F78" s="375"/>
      <c r="G78" s="375"/>
      <c r="H78" s="375"/>
      <c r="I78" s="375"/>
      <c r="J78" s="375"/>
      <c r="K78" s="375"/>
      <c r="L78" s="375"/>
      <c r="M78" s="375"/>
      <c r="N78" s="375"/>
    </row>
    <row r="79" ht="4.5" customHeight="1"/>
    <row r="80" spans="1:2" ht="12.75" hidden="1">
      <c r="A80" s="18">
        <v>11</v>
      </c>
      <c r="B80" s="18" t="s">
        <v>1706</v>
      </c>
    </row>
    <row r="81" spans="1:2" ht="12.75" hidden="1">
      <c r="A81" s="18">
        <v>12</v>
      </c>
      <c r="B81" s="18" t="s">
        <v>1707</v>
      </c>
    </row>
    <row r="82" spans="1:2" ht="12.75" hidden="1">
      <c r="A82" s="18">
        <v>13</v>
      </c>
      <c r="B82" s="18" t="s">
        <v>1708</v>
      </c>
    </row>
    <row r="83" spans="1:2" ht="12.75" hidden="1">
      <c r="A83" s="18">
        <v>21</v>
      </c>
      <c r="B83" s="18" t="s">
        <v>1709</v>
      </c>
    </row>
    <row r="84" spans="1:2" ht="12.75" hidden="1">
      <c r="A84" s="18">
        <v>22</v>
      </c>
      <c r="B84" s="18" t="s">
        <v>1710</v>
      </c>
    </row>
    <row r="85" spans="1:2" ht="12.75" hidden="1">
      <c r="A85" s="18">
        <v>31</v>
      </c>
      <c r="B85" s="18" t="s">
        <v>1711</v>
      </c>
    </row>
    <row r="86" spans="1:2" ht="12.75" hidden="1">
      <c r="A86" s="18">
        <v>41</v>
      </c>
      <c r="B86" s="18" t="s">
        <v>1712</v>
      </c>
    </row>
    <row r="87" spans="1:2" ht="12.75" hidden="1">
      <c r="A87" s="18">
        <v>42</v>
      </c>
      <c r="B87" s="18" t="s">
        <v>1713</v>
      </c>
    </row>
    <row r="88" ht="12" customHeight="1" hidden="1"/>
    <row r="89" ht="12" customHeight="1" hidden="1"/>
    <row r="90" ht="12" customHeight="1" hidden="1"/>
    <row r="91" spans="1:2" ht="12" customHeight="1" hidden="1">
      <c r="A91" s="18">
        <v>1</v>
      </c>
      <c r="B91" s="18" t="s">
        <v>1940</v>
      </c>
    </row>
    <row r="92" spans="1:2" ht="12" customHeight="1" hidden="1">
      <c r="A92" s="18">
        <v>2</v>
      </c>
      <c r="B92" s="18" t="s">
        <v>1941</v>
      </c>
    </row>
    <row r="93" spans="1:2" ht="12" customHeight="1" hidden="1">
      <c r="A93" s="18">
        <v>3</v>
      </c>
      <c r="B93" s="18" t="s">
        <v>1942</v>
      </c>
    </row>
    <row r="94" spans="1:2" ht="12" customHeight="1" hidden="1">
      <c r="A94" s="18">
        <v>4</v>
      </c>
      <c r="B94" s="18" t="s">
        <v>1943</v>
      </c>
    </row>
    <row r="95" spans="1:2" ht="12" customHeight="1" hidden="1">
      <c r="A95" s="18">
        <v>5</v>
      </c>
      <c r="B95" s="18" t="s">
        <v>1944</v>
      </c>
    </row>
    <row r="96" spans="1:2" ht="12" customHeight="1" hidden="1">
      <c r="A96" s="18">
        <v>6</v>
      </c>
      <c r="B96" s="18" t="s">
        <v>1947</v>
      </c>
    </row>
    <row r="97" spans="1:2" ht="12" customHeight="1" hidden="1">
      <c r="A97" s="18">
        <v>7</v>
      </c>
      <c r="B97" s="18" t="s">
        <v>1945</v>
      </c>
    </row>
    <row r="98" spans="1:2" ht="12" customHeight="1" hidden="1">
      <c r="A98" s="18">
        <v>8</v>
      </c>
      <c r="B98" s="18" t="s">
        <v>1948</v>
      </c>
    </row>
    <row r="99" spans="1:2" ht="12" customHeight="1" hidden="1">
      <c r="A99" s="18">
        <v>9</v>
      </c>
      <c r="B99" s="18" t="s">
        <v>1949</v>
      </c>
    </row>
    <row r="100" spans="1:2" ht="12" customHeight="1" hidden="1">
      <c r="A100" s="18">
        <v>10</v>
      </c>
      <c r="B100" s="18" t="s">
        <v>1950</v>
      </c>
    </row>
    <row r="101" spans="1:2" ht="12" customHeight="1" hidden="1">
      <c r="A101" s="18">
        <v>11</v>
      </c>
      <c r="B101" s="18" t="s">
        <v>1951</v>
      </c>
    </row>
    <row r="102" spans="1:2" ht="12" customHeight="1" hidden="1">
      <c r="A102" s="18">
        <v>12</v>
      </c>
      <c r="B102" s="18" t="s">
        <v>1946</v>
      </c>
    </row>
    <row r="103" spans="1:2" ht="12" customHeight="1" hidden="1">
      <c r="A103" s="18">
        <v>13</v>
      </c>
      <c r="B103" s="18" t="s">
        <v>1952</v>
      </c>
    </row>
    <row r="104" spans="1:2" ht="12" customHeight="1" hidden="1">
      <c r="A104" s="18">
        <v>14</v>
      </c>
      <c r="B104" s="18" t="s">
        <v>1953</v>
      </c>
    </row>
    <row r="105" spans="1:2" ht="12" customHeight="1" hidden="1">
      <c r="A105" s="18">
        <v>15</v>
      </c>
      <c r="B105" s="18" t="s">
        <v>1954</v>
      </c>
    </row>
    <row r="106" spans="1:2" ht="12" customHeight="1" hidden="1">
      <c r="A106" s="18">
        <v>16</v>
      </c>
      <c r="B106" s="18" t="s">
        <v>1955</v>
      </c>
    </row>
    <row r="107" spans="1:2" ht="12" customHeight="1" hidden="1">
      <c r="A107" s="18">
        <v>99</v>
      </c>
      <c r="B107" s="18" t="s">
        <v>1956</v>
      </c>
    </row>
    <row r="108" ht="12" customHeight="1" hidden="1"/>
    <row r="109" ht="12" customHeight="1" hidden="1"/>
    <row r="110" ht="12" customHeight="1" hidden="1"/>
    <row r="111" spans="1:2" ht="12.75" hidden="1">
      <c r="A111" s="18">
        <v>1</v>
      </c>
      <c r="B111" s="18" t="s">
        <v>1163</v>
      </c>
    </row>
    <row r="112" spans="1:2" ht="12.75" hidden="1">
      <c r="A112" s="18">
        <v>2</v>
      </c>
      <c r="B112" s="18" t="s">
        <v>1465</v>
      </c>
    </row>
    <row r="113" spans="1:2" ht="12.75" hidden="1">
      <c r="A113" s="18">
        <v>3</v>
      </c>
      <c r="B113" s="18" t="s">
        <v>1466</v>
      </c>
    </row>
    <row r="114" spans="1:2" ht="12.75" hidden="1">
      <c r="A114" s="18">
        <v>4</v>
      </c>
      <c r="B114" s="18" t="s">
        <v>1518</v>
      </c>
    </row>
    <row r="115" ht="12.75" hidden="1"/>
    <row r="116" ht="12.75" hidden="1"/>
    <row r="117" ht="12.75" hidden="1"/>
    <row r="118" spans="1:2" ht="12.75" hidden="1">
      <c r="A118" s="18">
        <v>1</v>
      </c>
      <c r="B118" s="18" t="s">
        <v>1414</v>
      </c>
    </row>
    <row r="119" spans="1:2" ht="12.75" hidden="1">
      <c r="A119" s="18">
        <v>2</v>
      </c>
      <c r="B119" s="18" t="s">
        <v>1415</v>
      </c>
    </row>
    <row r="120" spans="1:2" ht="12.75" hidden="1">
      <c r="A120" s="18">
        <v>3</v>
      </c>
      <c r="B120" s="18" t="s">
        <v>1416</v>
      </c>
    </row>
    <row r="121" ht="12.75" hidden="1"/>
    <row r="122" ht="12.75" hidden="1"/>
    <row r="123" ht="12.75" hidden="1"/>
    <row r="124" spans="1:2" ht="12.75" hidden="1">
      <c r="A124" s="18">
        <v>1</v>
      </c>
      <c r="B124" s="18" t="s">
        <v>792</v>
      </c>
    </row>
    <row r="125" spans="1:2" ht="12.75" hidden="1">
      <c r="A125" s="18">
        <v>2</v>
      </c>
      <c r="B125" s="18" t="s">
        <v>1263</v>
      </c>
    </row>
    <row r="126" spans="1:2" ht="12.75" hidden="1">
      <c r="A126" s="18">
        <v>3</v>
      </c>
      <c r="B126" s="18" t="s">
        <v>793</v>
      </c>
    </row>
    <row r="127" spans="1:2" ht="12.75" hidden="1">
      <c r="A127" s="18">
        <v>4</v>
      </c>
      <c r="B127" s="18" t="s">
        <v>880</v>
      </c>
    </row>
    <row r="128" ht="12.75" hidden="1"/>
    <row r="129" ht="12.75" hidden="1"/>
    <row r="130" ht="12.75" hidden="1"/>
    <row r="131" spans="1:2" ht="12.75" hidden="1">
      <c r="A131" s="18">
        <v>1</v>
      </c>
      <c r="B131" s="18" t="s">
        <v>977</v>
      </c>
    </row>
    <row r="132" spans="1:2" ht="12.75" hidden="1">
      <c r="A132" s="18">
        <v>2</v>
      </c>
      <c r="B132" s="18" t="s">
        <v>789</v>
      </c>
    </row>
    <row r="133" spans="1:2" ht="12.75" hidden="1">
      <c r="A133" s="18">
        <v>3</v>
      </c>
      <c r="B133" s="18" t="s">
        <v>790</v>
      </c>
    </row>
    <row r="134" spans="1:2" ht="12.75" hidden="1">
      <c r="A134" s="18">
        <v>5</v>
      </c>
      <c r="B134" s="18" t="s">
        <v>791</v>
      </c>
    </row>
    <row r="135" spans="1:2" ht="12.75" hidden="1">
      <c r="A135" s="18">
        <v>6</v>
      </c>
      <c r="B135" s="18" t="s">
        <v>791</v>
      </c>
    </row>
    <row r="136" spans="1:2" ht="12.75" hidden="1">
      <c r="A136" s="18">
        <v>7</v>
      </c>
      <c r="B136" s="18" t="s">
        <v>975</v>
      </c>
    </row>
    <row r="137" spans="1:2" ht="12.75" hidden="1">
      <c r="A137" s="18">
        <v>9</v>
      </c>
      <c r="B137" s="18" t="s">
        <v>976</v>
      </c>
    </row>
    <row r="138" spans="1:2" ht="12.75" hidden="1">
      <c r="A138" s="18">
        <v>10</v>
      </c>
      <c r="B138" s="18" t="s">
        <v>2485</v>
      </c>
    </row>
    <row r="139" ht="12.75" hidden="1"/>
    <row r="140" ht="12.75" hidden="1"/>
    <row r="141" ht="12.75" hidden="1"/>
    <row r="142" spans="1:2" ht="12.75" hidden="1">
      <c r="A142" s="18">
        <v>10</v>
      </c>
      <c r="B142" s="18" t="s">
        <v>411</v>
      </c>
    </row>
    <row r="143" spans="1:2" ht="12.75" hidden="1">
      <c r="A143" s="18">
        <v>11</v>
      </c>
      <c r="B143" s="18" t="s">
        <v>412</v>
      </c>
    </row>
    <row r="144" spans="1:2" ht="12.75" hidden="1">
      <c r="A144" s="18">
        <v>20</v>
      </c>
      <c r="B144" s="18" t="s">
        <v>413</v>
      </c>
    </row>
    <row r="145" spans="1:2" ht="12.75" hidden="1">
      <c r="A145" s="18">
        <v>21</v>
      </c>
      <c r="B145" s="18" t="s">
        <v>648</v>
      </c>
    </row>
    <row r="146" spans="1:2" ht="12.75" hidden="1">
      <c r="A146" s="18">
        <v>30</v>
      </c>
      <c r="B146" s="18" t="s">
        <v>131</v>
      </c>
    </row>
    <row r="147" spans="1:2" ht="12.75" hidden="1">
      <c r="A147" s="18">
        <v>31</v>
      </c>
      <c r="B147" s="18" t="s">
        <v>649</v>
      </c>
    </row>
    <row r="148" spans="1:2" ht="12.75" hidden="1">
      <c r="A148" s="18">
        <v>40</v>
      </c>
      <c r="B148" s="18" t="s">
        <v>650</v>
      </c>
    </row>
    <row r="149" spans="1:2" ht="12.75" hidden="1">
      <c r="A149" s="18">
        <v>50</v>
      </c>
      <c r="B149" s="18" t="s">
        <v>2616</v>
      </c>
    </row>
    <row r="150" ht="12.75" hidden="1"/>
    <row r="151" ht="12.75" hidden="1"/>
    <row r="152" ht="12.75" hidden="1"/>
    <row r="153" spans="1:2" ht="12.75" hidden="1">
      <c r="A153" s="18">
        <v>1</v>
      </c>
      <c r="B153" s="18" t="s">
        <v>733</v>
      </c>
    </row>
    <row r="154" spans="1:2" ht="12.75" hidden="1">
      <c r="A154" s="18">
        <v>2</v>
      </c>
      <c r="B154" s="18" t="s">
        <v>1394</v>
      </c>
    </row>
    <row r="155" spans="1:2" ht="12.75" hidden="1">
      <c r="A155" s="18">
        <v>3</v>
      </c>
      <c r="B155" s="18" t="s">
        <v>1395</v>
      </c>
    </row>
    <row r="156" spans="1:2" ht="12.75" hidden="1">
      <c r="A156" s="18">
        <v>4</v>
      </c>
      <c r="B156" s="18" t="s">
        <v>1396</v>
      </c>
    </row>
    <row r="157" spans="1:2" ht="12.75" hidden="1">
      <c r="A157" s="18">
        <v>5</v>
      </c>
      <c r="B157" s="18" t="s">
        <v>1397</v>
      </c>
    </row>
    <row r="158" spans="1:2" ht="12.75" hidden="1">
      <c r="A158" s="18">
        <v>6</v>
      </c>
      <c r="B158" s="18" t="s">
        <v>1398</v>
      </c>
    </row>
    <row r="159" spans="1:2" ht="12.75" hidden="1">
      <c r="A159" s="18">
        <v>7</v>
      </c>
      <c r="B159" s="18" t="s">
        <v>1399</v>
      </c>
    </row>
    <row r="160" spans="1:2" ht="12.75" hidden="1">
      <c r="A160" s="18">
        <v>8</v>
      </c>
      <c r="B160" s="18" t="s">
        <v>1400</v>
      </c>
    </row>
    <row r="161" spans="1:2" ht="12.75" hidden="1">
      <c r="A161" s="18">
        <v>9</v>
      </c>
      <c r="B161" s="18" t="s">
        <v>1401</v>
      </c>
    </row>
    <row r="162" spans="1:2" ht="12.75" hidden="1">
      <c r="A162" s="18">
        <v>10</v>
      </c>
      <c r="B162" s="18" t="s">
        <v>1402</v>
      </c>
    </row>
    <row r="163" spans="1:2" ht="12.75" hidden="1">
      <c r="A163" s="18">
        <v>11</v>
      </c>
      <c r="B163" s="18" t="s">
        <v>1403</v>
      </c>
    </row>
    <row r="164" spans="1:2" ht="12.75" hidden="1">
      <c r="A164" s="18">
        <v>12</v>
      </c>
      <c r="B164" s="18" t="s">
        <v>1404</v>
      </c>
    </row>
    <row r="165" spans="1:2" ht="12.75" hidden="1">
      <c r="A165" s="18">
        <v>13</v>
      </c>
      <c r="B165" s="18" t="s">
        <v>1405</v>
      </c>
    </row>
    <row r="166" spans="1:2" ht="12.75" hidden="1">
      <c r="A166" s="18">
        <v>14</v>
      </c>
      <c r="B166" s="18" t="s">
        <v>1406</v>
      </c>
    </row>
    <row r="167" spans="1:2" ht="12.75" hidden="1">
      <c r="A167" s="18">
        <v>15</v>
      </c>
      <c r="B167" s="18" t="s">
        <v>1407</v>
      </c>
    </row>
    <row r="168" spans="1:2" ht="12.75" hidden="1">
      <c r="A168" s="18">
        <v>16</v>
      </c>
      <c r="B168" s="18" t="s">
        <v>1408</v>
      </c>
    </row>
    <row r="169" spans="1:2" ht="12.75" hidden="1">
      <c r="A169" s="18">
        <v>17</v>
      </c>
      <c r="B169" s="18" t="s">
        <v>1409</v>
      </c>
    </row>
    <row r="170" spans="1:2" ht="12.75" hidden="1">
      <c r="A170" s="18">
        <v>18</v>
      </c>
      <c r="B170" s="18" t="s">
        <v>1410</v>
      </c>
    </row>
    <row r="171" spans="1:2" ht="12.75" hidden="1">
      <c r="A171" s="18">
        <v>19</v>
      </c>
      <c r="B171" s="18" t="s">
        <v>1411</v>
      </c>
    </row>
    <row r="172" spans="1:2" ht="12.75" hidden="1">
      <c r="A172" s="18">
        <v>20</v>
      </c>
      <c r="B172" s="18" t="s">
        <v>1412</v>
      </c>
    </row>
    <row r="173" spans="1:2" ht="12.75" hidden="1">
      <c r="A173" s="18">
        <v>21</v>
      </c>
      <c r="B173" s="18" t="s">
        <v>1413</v>
      </c>
    </row>
    <row r="174" ht="12.75" hidden="1"/>
    <row r="175" ht="12.75" hidden="1"/>
    <row r="176" ht="12.75" hidden="1">
      <c r="C176" s="18">
        <v>16</v>
      </c>
    </row>
    <row r="177" spans="1:3" ht="12.75" hidden="1">
      <c r="A177" s="18">
        <v>1</v>
      </c>
      <c r="B177" s="18" t="s">
        <v>1656</v>
      </c>
      <c r="C177" s="18">
        <v>14</v>
      </c>
    </row>
    <row r="178" spans="1:3" ht="12.75" hidden="1">
      <c r="A178" s="18">
        <v>2</v>
      </c>
      <c r="B178" s="18" t="s">
        <v>1659</v>
      </c>
      <c r="C178" s="18">
        <v>16</v>
      </c>
    </row>
    <row r="179" spans="1:3" ht="12.75" hidden="1">
      <c r="A179" s="18">
        <v>3</v>
      </c>
      <c r="B179" s="18" t="s">
        <v>1662</v>
      </c>
      <c r="C179" s="18">
        <v>8</v>
      </c>
    </row>
    <row r="180" spans="1:3" ht="12.75" hidden="1">
      <c r="A180" s="18">
        <v>4</v>
      </c>
      <c r="B180" s="18" t="s">
        <v>855</v>
      </c>
      <c r="C180" s="18">
        <v>18</v>
      </c>
    </row>
    <row r="181" spans="1:3" ht="12.75" hidden="1">
      <c r="A181" s="18">
        <v>5</v>
      </c>
      <c r="B181" s="18" t="s">
        <v>858</v>
      </c>
      <c r="C181" s="18">
        <v>18</v>
      </c>
    </row>
    <row r="182" spans="1:3" ht="12.75" hidden="1">
      <c r="A182" s="18">
        <v>6</v>
      </c>
      <c r="B182" s="18" t="s">
        <v>1728</v>
      </c>
      <c r="C182" s="18">
        <v>4</v>
      </c>
    </row>
    <row r="183" spans="1:3" ht="12.75" hidden="1">
      <c r="A183" s="18">
        <v>7</v>
      </c>
      <c r="B183" s="18" t="s">
        <v>1373</v>
      </c>
      <c r="C183" s="18">
        <v>8</v>
      </c>
    </row>
    <row r="184" spans="1:3" ht="12.75" hidden="1">
      <c r="A184" s="18">
        <v>8</v>
      </c>
      <c r="B184" s="18" t="s">
        <v>1376</v>
      </c>
      <c r="C184" s="18">
        <v>17</v>
      </c>
    </row>
    <row r="185" spans="1:3" ht="12.75" hidden="1">
      <c r="A185" s="18">
        <v>9</v>
      </c>
      <c r="B185" s="18" t="s">
        <v>1379</v>
      </c>
      <c r="C185" s="18">
        <v>12</v>
      </c>
    </row>
    <row r="186" spans="1:3" ht="12.75" hidden="1">
      <c r="A186" s="18">
        <v>10</v>
      </c>
      <c r="B186" s="18" t="s">
        <v>1382</v>
      </c>
      <c r="C186" s="18">
        <v>2</v>
      </c>
    </row>
    <row r="187" spans="1:3" ht="12.75" hidden="1">
      <c r="A187" s="18">
        <v>11</v>
      </c>
      <c r="B187" s="18" t="s">
        <v>1385</v>
      </c>
      <c r="C187" s="18">
        <v>5</v>
      </c>
    </row>
    <row r="188" spans="1:3" ht="12.75" hidden="1">
      <c r="A188" s="18">
        <v>12</v>
      </c>
      <c r="B188" s="18" t="s">
        <v>1391</v>
      </c>
      <c r="C188" s="18">
        <v>14</v>
      </c>
    </row>
    <row r="189" spans="1:3" ht="12.75" hidden="1">
      <c r="A189" s="18">
        <v>13</v>
      </c>
      <c r="B189" s="18" t="s">
        <v>507</v>
      </c>
      <c r="C189" s="18">
        <v>20</v>
      </c>
    </row>
    <row r="190" spans="1:3" ht="12.75" hidden="1">
      <c r="A190" s="18">
        <v>15</v>
      </c>
      <c r="B190" s="18" t="s">
        <v>1641</v>
      </c>
      <c r="C190" s="18">
        <v>14</v>
      </c>
    </row>
    <row r="191" spans="1:3" ht="12.75" hidden="1">
      <c r="A191" s="18">
        <v>16</v>
      </c>
      <c r="B191" s="18" t="s">
        <v>674</v>
      </c>
      <c r="C191" s="18">
        <v>13</v>
      </c>
    </row>
    <row r="192" spans="1:3" ht="12.75" hidden="1">
      <c r="A192" s="18">
        <v>17</v>
      </c>
      <c r="B192" s="18" t="s">
        <v>1213</v>
      </c>
      <c r="C192" s="18">
        <v>7</v>
      </c>
    </row>
    <row r="193" spans="1:3" ht="12.75" hidden="1">
      <c r="A193" s="18">
        <v>18</v>
      </c>
      <c r="B193" s="18" t="s">
        <v>1216</v>
      </c>
      <c r="C193" s="18">
        <v>5</v>
      </c>
    </row>
    <row r="194" spans="1:3" ht="12.75" hidden="1">
      <c r="A194" s="18">
        <v>19</v>
      </c>
      <c r="B194" s="18" t="s">
        <v>1219</v>
      </c>
      <c r="C194" s="18">
        <v>13</v>
      </c>
    </row>
    <row r="195" spans="1:3" ht="12.75" hidden="1">
      <c r="A195" s="18">
        <v>20</v>
      </c>
      <c r="B195" s="18" t="s">
        <v>1222</v>
      </c>
      <c r="C195" s="18">
        <v>14</v>
      </c>
    </row>
    <row r="196" spans="1:3" ht="12.75" hidden="1">
      <c r="A196" s="18">
        <v>21</v>
      </c>
      <c r="B196" s="18" t="s">
        <v>1228</v>
      </c>
      <c r="C196" s="18">
        <v>13</v>
      </c>
    </row>
    <row r="197" spans="1:3" ht="12.75" hidden="1">
      <c r="A197" s="18">
        <v>22</v>
      </c>
      <c r="B197" s="18" t="s">
        <v>1231</v>
      </c>
      <c r="C197" s="18">
        <v>14</v>
      </c>
    </row>
    <row r="198" spans="1:3" ht="12.75" hidden="1">
      <c r="A198" s="18">
        <v>23</v>
      </c>
      <c r="B198" s="18" t="s">
        <v>1623</v>
      </c>
      <c r="C198" s="18">
        <v>7</v>
      </c>
    </row>
    <row r="199" spans="1:3" ht="12.75" hidden="1">
      <c r="A199" s="18">
        <v>24</v>
      </c>
      <c r="B199" s="18" t="s">
        <v>1626</v>
      </c>
      <c r="C199" s="18">
        <v>19</v>
      </c>
    </row>
    <row r="200" spans="1:3" ht="12.75" hidden="1">
      <c r="A200" s="18">
        <v>25</v>
      </c>
      <c r="B200" s="18" t="s">
        <v>1629</v>
      </c>
      <c r="C200" s="18">
        <v>16</v>
      </c>
    </row>
    <row r="201" spans="1:3" ht="12.75" hidden="1">
      <c r="A201" s="18">
        <v>26</v>
      </c>
      <c r="B201" s="18" t="s">
        <v>1632</v>
      </c>
      <c r="C201" s="18">
        <v>17</v>
      </c>
    </row>
    <row r="202" spans="1:3" ht="12.75" hidden="1">
      <c r="A202" s="18">
        <v>27</v>
      </c>
      <c r="B202" s="18" t="s">
        <v>1635</v>
      </c>
      <c r="C202" s="18">
        <v>16</v>
      </c>
    </row>
    <row r="203" spans="1:3" ht="12.75" hidden="1">
      <c r="A203" s="18">
        <v>29</v>
      </c>
      <c r="B203" s="18" t="s">
        <v>157</v>
      </c>
      <c r="C203" s="18">
        <v>4</v>
      </c>
    </row>
    <row r="204" spans="1:3" ht="12.75" hidden="1">
      <c r="A204" s="18">
        <v>30</v>
      </c>
      <c r="B204" s="18" t="s">
        <v>1495</v>
      </c>
      <c r="C204" s="18">
        <v>16</v>
      </c>
    </row>
    <row r="205" spans="1:3" ht="12.75" hidden="1">
      <c r="A205" s="18">
        <v>32</v>
      </c>
      <c r="B205" s="18" t="s">
        <v>1498</v>
      </c>
      <c r="C205" s="18">
        <v>1</v>
      </c>
    </row>
    <row r="206" spans="1:3" ht="12.75" hidden="1">
      <c r="A206" s="18">
        <v>33</v>
      </c>
      <c r="B206" s="18" t="s">
        <v>1528</v>
      </c>
      <c r="C206" s="18">
        <v>1</v>
      </c>
    </row>
    <row r="207" spans="1:3" ht="12.75" hidden="1">
      <c r="A207" s="18">
        <v>34</v>
      </c>
      <c r="B207" s="18" t="s">
        <v>1531</v>
      </c>
      <c r="C207" s="18">
        <v>11</v>
      </c>
    </row>
    <row r="208" spans="1:3" ht="12.75" hidden="1">
      <c r="A208" s="18">
        <v>35</v>
      </c>
      <c r="B208" s="18" t="s">
        <v>1537</v>
      </c>
      <c r="C208" s="18">
        <v>5</v>
      </c>
    </row>
    <row r="209" spans="1:3" ht="12.75" hidden="1">
      <c r="A209" s="18">
        <v>36</v>
      </c>
      <c r="B209" s="18" t="s">
        <v>1540</v>
      </c>
      <c r="C209" s="18">
        <v>9</v>
      </c>
    </row>
    <row r="210" spans="1:3" ht="12.75" hidden="1">
      <c r="A210" s="18">
        <v>37</v>
      </c>
      <c r="B210" s="18" t="s">
        <v>1546</v>
      </c>
      <c r="C210" s="18">
        <v>8</v>
      </c>
    </row>
    <row r="211" spans="1:3" ht="12.75" hidden="1">
      <c r="A211" s="18">
        <v>38</v>
      </c>
      <c r="B211" s="18" t="s">
        <v>1549</v>
      </c>
      <c r="C211" s="18">
        <v>12</v>
      </c>
    </row>
    <row r="212" spans="1:3" ht="12.75" hidden="1">
      <c r="A212" s="18">
        <v>39</v>
      </c>
      <c r="B212" s="18" t="s">
        <v>1552</v>
      </c>
      <c r="C212" s="18">
        <v>18</v>
      </c>
    </row>
    <row r="213" spans="1:3" ht="12.75" hidden="1">
      <c r="A213" s="18">
        <v>40</v>
      </c>
      <c r="B213" s="18" t="s">
        <v>1555</v>
      </c>
      <c r="C213" s="18">
        <v>2</v>
      </c>
    </row>
    <row r="214" spans="1:3" ht="12.75" hidden="1">
      <c r="A214" s="18">
        <v>41</v>
      </c>
      <c r="B214" s="18" t="s">
        <v>2445</v>
      </c>
      <c r="C214" s="18">
        <v>18</v>
      </c>
    </row>
    <row r="215" spans="1:3" ht="12.75" hidden="1">
      <c r="A215" s="18">
        <v>42</v>
      </c>
      <c r="B215" s="18" t="s">
        <v>2448</v>
      </c>
      <c r="C215" s="18">
        <v>18</v>
      </c>
    </row>
    <row r="216" spans="1:3" ht="12.75" hidden="1">
      <c r="A216" s="18">
        <v>43</v>
      </c>
      <c r="B216" s="18" t="s">
        <v>2454</v>
      </c>
      <c r="C216" s="18">
        <v>16</v>
      </c>
    </row>
    <row r="217" spans="1:3" ht="12.75" hidden="1">
      <c r="A217" s="18">
        <v>44</v>
      </c>
      <c r="B217" s="18" t="s">
        <v>1103</v>
      </c>
      <c r="C217" s="18">
        <v>12</v>
      </c>
    </row>
    <row r="218" spans="1:3" ht="12.75" hidden="1">
      <c r="A218" s="18">
        <v>46</v>
      </c>
      <c r="B218" s="18" t="s">
        <v>1313</v>
      </c>
      <c r="C218" s="18">
        <v>18</v>
      </c>
    </row>
    <row r="219" spans="1:3" ht="12.75" hidden="1">
      <c r="A219" s="18">
        <v>47</v>
      </c>
      <c r="B219" s="18" t="s">
        <v>1316</v>
      </c>
      <c r="C219" s="18">
        <v>5</v>
      </c>
    </row>
    <row r="220" spans="1:3" ht="12.75" hidden="1">
      <c r="A220" s="18">
        <v>48</v>
      </c>
      <c r="B220" s="18" t="s">
        <v>1319</v>
      </c>
      <c r="C220" s="18">
        <v>4</v>
      </c>
    </row>
    <row r="221" spans="1:3" ht="12.75" hidden="1">
      <c r="A221" s="18">
        <v>49</v>
      </c>
      <c r="B221" s="18" t="s">
        <v>1322</v>
      </c>
      <c r="C221" s="18">
        <v>17</v>
      </c>
    </row>
    <row r="222" spans="1:3" ht="12.75" hidden="1">
      <c r="A222" s="18">
        <v>50</v>
      </c>
      <c r="B222" s="18" t="s">
        <v>1325</v>
      </c>
      <c r="C222" s="18">
        <v>15</v>
      </c>
    </row>
    <row r="223" spans="1:3" ht="12.75" hidden="1">
      <c r="A223" s="18">
        <v>51</v>
      </c>
      <c r="B223" s="18" t="s">
        <v>1328</v>
      </c>
      <c r="C223" s="18">
        <v>8</v>
      </c>
    </row>
    <row r="224" spans="1:3" ht="12.75" hidden="1">
      <c r="A224" s="18">
        <v>52</v>
      </c>
      <c r="B224" s="18" t="s">
        <v>1331</v>
      </c>
      <c r="C224" s="18">
        <v>8</v>
      </c>
    </row>
    <row r="225" spans="1:3" ht="12.75" hidden="1">
      <c r="A225" s="18">
        <v>53</v>
      </c>
      <c r="B225" s="18" t="s">
        <v>1334</v>
      </c>
      <c r="C225" s="18">
        <v>10</v>
      </c>
    </row>
    <row r="226" spans="1:3" ht="12.75" hidden="1">
      <c r="A226" s="18">
        <v>54</v>
      </c>
      <c r="B226" s="18" t="s">
        <v>1337</v>
      </c>
      <c r="C226" s="18">
        <v>8</v>
      </c>
    </row>
    <row r="227" spans="1:3" ht="12.75" hidden="1">
      <c r="A227" s="18">
        <v>55</v>
      </c>
      <c r="B227" s="18" t="s">
        <v>1340</v>
      </c>
      <c r="C227" s="18">
        <v>10</v>
      </c>
    </row>
    <row r="228" spans="1:3" ht="12.75" hidden="1">
      <c r="A228" s="18">
        <v>56</v>
      </c>
      <c r="B228" s="18" t="s">
        <v>911</v>
      </c>
      <c r="C228" s="18">
        <v>10</v>
      </c>
    </row>
    <row r="229" spans="1:3" ht="12.75" hidden="1">
      <c r="A229" s="18">
        <v>57</v>
      </c>
      <c r="B229" s="18" t="s">
        <v>914</v>
      </c>
      <c r="C229" s="18">
        <v>11</v>
      </c>
    </row>
    <row r="230" spans="1:3" ht="12.75" hidden="1">
      <c r="A230" s="18">
        <v>58</v>
      </c>
      <c r="B230" s="18" t="s">
        <v>917</v>
      </c>
      <c r="C230" s="18">
        <v>20</v>
      </c>
    </row>
    <row r="231" spans="1:3" ht="12.75" hidden="1">
      <c r="A231" s="18">
        <v>60</v>
      </c>
      <c r="B231" s="18" t="s">
        <v>1281</v>
      </c>
      <c r="C231" s="18">
        <v>8</v>
      </c>
    </row>
    <row r="232" spans="1:3" ht="12.75" hidden="1">
      <c r="A232" s="18">
        <v>61</v>
      </c>
      <c r="B232" s="18" t="s">
        <v>1284</v>
      </c>
      <c r="C232" s="18">
        <v>7</v>
      </c>
    </row>
    <row r="233" spans="1:3" ht="12.75" hidden="1">
      <c r="A233" s="18">
        <v>63</v>
      </c>
      <c r="B233" s="18" t="s">
        <v>1287</v>
      </c>
      <c r="C233" s="18">
        <v>14</v>
      </c>
    </row>
    <row r="234" spans="1:3" ht="12.75" hidden="1">
      <c r="A234" s="18">
        <v>64</v>
      </c>
      <c r="B234" s="18" t="s">
        <v>1290</v>
      </c>
      <c r="C234" s="18">
        <v>14</v>
      </c>
    </row>
    <row r="235" spans="1:3" ht="12.75" hidden="1">
      <c r="A235" s="18">
        <v>65</v>
      </c>
      <c r="B235" s="18" t="s">
        <v>1293</v>
      </c>
      <c r="C235" s="18">
        <v>14</v>
      </c>
    </row>
    <row r="236" spans="1:3" ht="12.75" hidden="1">
      <c r="A236" s="18">
        <v>66</v>
      </c>
      <c r="B236" s="18" t="s">
        <v>1296</v>
      </c>
      <c r="C236" s="18">
        <v>7</v>
      </c>
    </row>
    <row r="237" spans="1:3" ht="12.75" hidden="1">
      <c r="A237" s="18">
        <v>67</v>
      </c>
      <c r="B237" s="18" t="s">
        <v>1299</v>
      </c>
      <c r="C237" s="18">
        <v>12</v>
      </c>
    </row>
    <row r="238" spans="1:3" ht="12.75" hidden="1">
      <c r="A238" s="18">
        <v>68</v>
      </c>
      <c r="B238" s="18" t="s">
        <v>1302</v>
      </c>
      <c r="C238" s="18">
        <v>8</v>
      </c>
    </row>
    <row r="239" spans="1:3" ht="12.75" hidden="1">
      <c r="A239" s="18">
        <v>69</v>
      </c>
      <c r="B239" s="18" t="s">
        <v>1308</v>
      </c>
      <c r="C239" s="18">
        <v>2</v>
      </c>
    </row>
    <row r="240" spans="1:3" ht="12.75" hidden="1">
      <c r="A240" s="18">
        <v>70</v>
      </c>
      <c r="B240" s="18" t="s">
        <v>1311</v>
      </c>
      <c r="C240" s="18">
        <v>7</v>
      </c>
    </row>
    <row r="241" spans="1:3" ht="12.75" hidden="1">
      <c r="A241" s="18">
        <v>71</v>
      </c>
      <c r="B241" s="18" t="s">
        <v>1173</v>
      </c>
      <c r="C241" s="18">
        <v>17</v>
      </c>
    </row>
    <row r="242" spans="1:3" ht="12.75" hidden="1">
      <c r="A242" s="18">
        <v>72</v>
      </c>
      <c r="B242" s="18" t="s">
        <v>1175</v>
      </c>
      <c r="C242" s="18">
        <v>8</v>
      </c>
    </row>
    <row r="243" spans="1:3" ht="12.75" hidden="1">
      <c r="A243" s="18">
        <v>74</v>
      </c>
      <c r="B243" s="18" t="s">
        <v>1178</v>
      </c>
      <c r="C243" s="18">
        <v>20</v>
      </c>
    </row>
    <row r="244" spans="1:3" ht="12.75" hidden="1">
      <c r="A244" s="18">
        <v>75</v>
      </c>
      <c r="B244" s="18" t="s">
        <v>1181</v>
      </c>
      <c r="C244" s="18">
        <v>17</v>
      </c>
    </row>
    <row r="245" spans="1:3" ht="12.75" hidden="1">
      <c r="A245" s="18">
        <v>77</v>
      </c>
      <c r="B245" s="18" t="s">
        <v>1534</v>
      </c>
      <c r="C245" s="18">
        <v>20</v>
      </c>
    </row>
    <row r="246" spans="1:3" ht="12.75" hidden="1">
      <c r="A246" s="18">
        <v>78</v>
      </c>
      <c r="B246" s="18" t="s">
        <v>1184</v>
      </c>
      <c r="C246" s="18">
        <v>2</v>
      </c>
    </row>
    <row r="247" spans="1:3" ht="12.75" hidden="1">
      <c r="A247" s="18">
        <v>79</v>
      </c>
      <c r="B247" s="18" t="s">
        <v>2389</v>
      </c>
      <c r="C247" s="18">
        <v>5</v>
      </c>
    </row>
    <row r="248" spans="1:3" ht="12.75" hidden="1">
      <c r="A248" s="18">
        <v>80</v>
      </c>
      <c r="B248" s="18" t="s">
        <v>2392</v>
      </c>
      <c r="C248" s="18">
        <v>12</v>
      </c>
    </row>
    <row r="249" spans="1:3" ht="12.75" hidden="1">
      <c r="A249" s="18">
        <v>81</v>
      </c>
      <c r="B249" s="18" t="s">
        <v>2199</v>
      </c>
      <c r="C249" s="18">
        <v>20</v>
      </c>
    </row>
    <row r="250" spans="1:3" ht="12.75" hidden="1">
      <c r="A250" s="18">
        <v>82</v>
      </c>
      <c r="B250" s="18" t="s">
        <v>2202</v>
      </c>
      <c r="C250" s="18">
        <v>3</v>
      </c>
    </row>
    <row r="251" spans="1:3" ht="12.75" hidden="1">
      <c r="A251" s="18">
        <v>83</v>
      </c>
      <c r="B251" s="18" t="s">
        <v>1091</v>
      </c>
      <c r="C251" s="18">
        <v>9</v>
      </c>
    </row>
    <row r="252" spans="1:3" ht="12.75" hidden="1">
      <c r="A252" s="18">
        <v>84</v>
      </c>
      <c r="B252" s="18" t="s">
        <v>1094</v>
      </c>
      <c r="C252" s="18">
        <v>5</v>
      </c>
    </row>
    <row r="253" spans="1:3" ht="12.75" hidden="1">
      <c r="A253" s="18">
        <v>85</v>
      </c>
      <c r="B253" s="18" t="s">
        <v>1113</v>
      </c>
      <c r="C253" s="18">
        <v>14</v>
      </c>
    </row>
    <row r="254" spans="1:3" ht="12.75" hidden="1">
      <c r="A254" s="18">
        <v>86</v>
      </c>
      <c r="B254" s="18" t="s">
        <v>2207</v>
      </c>
      <c r="C254" s="18">
        <v>17</v>
      </c>
    </row>
    <row r="255" spans="1:3" ht="12.75" hidden="1">
      <c r="A255" s="18">
        <v>87</v>
      </c>
      <c r="B255" s="18" t="s">
        <v>2530</v>
      </c>
      <c r="C255" s="18">
        <v>17</v>
      </c>
    </row>
    <row r="256" spans="1:3" ht="12.75" hidden="1">
      <c r="A256" s="18">
        <v>88</v>
      </c>
      <c r="B256" s="18" t="s">
        <v>1658</v>
      </c>
      <c r="C256" s="18">
        <v>20</v>
      </c>
    </row>
    <row r="257" spans="1:3" ht="12.75" hidden="1">
      <c r="A257" s="18">
        <v>89</v>
      </c>
      <c r="B257" s="18" t="s">
        <v>2744</v>
      </c>
      <c r="C257" s="18">
        <v>4</v>
      </c>
    </row>
    <row r="258" spans="1:3" ht="12.75" hidden="1">
      <c r="A258" s="18">
        <v>90</v>
      </c>
      <c r="B258" s="18" t="s">
        <v>2750</v>
      </c>
      <c r="C258" s="18">
        <v>14</v>
      </c>
    </row>
    <row r="259" spans="1:3" ht="12.75" hidden="1">
      <c r="A259" s="18">
        <v>91</v>
      </c>
      <c r="B259" s="18" t="s">
        <v>2753</v>
      </c>
      <c r="C259" s="18">
        <v>16</v>
      </c>
    </row>
    <row r="260" spans="1:3" ht="12.75" hidden="1">
      <c r="A260" s="18">
        <v>92</v>
      </c>
      <c r="B260" s="18" t="s">
        <v>921</v>
      </c>
      <c r="C260" s="18">
        <v>14</v>
      </c>
    </row>
    <row r="261" spans="1:3" ht="12.75" hidden="1">
      <c r="A261" s="18">
        <v>94</v>
      </c>
      <c r="B261" s="18" t="s">
        <v>924</v>
      </c>
      <c r="C261" s="18">
        <v>15</v>
      </c>
    </row>
    <row r="262" spans="1:3" ht="12.75" hidden="1">
      <c r="A262" s="18">
        <v>95</v>
      </c>
      <c r="B262" s="18" t="s">
        <v>2529</v>
      </c>
      <c r="C262" s="18">
        <v>6</v>
      </c>
    </row>
    <row r="263" spans="1:3" ht="12.75" hidden="1">
      <c r="A263" s="18">
        <v>96</v>
      </c>
      <c r="B263" s="18" t="s">
        <v>2532</v>
      </c>
      <c r="C263" s="18">
        <v>1</v>
      </c>
    </row>
    <row r="264" spans="1:3" ht="12.75" hidden="1">
      <c r="A264" s="18">
        <v>97</v>
      </c>
      <c r="B264" s="18" t="s">
        <v>2535</v>
      </c>
      <c r="C264" s="18">
        <v>19</v>
      </c>
    </row>
    <row r="265" spans="1:3" ht="12.75" hidden="1">
      <c r="A265" s="18">
        <v>98</v>
      </c>
      <c r="B265" s="18" t="s">
        <v>237</v>
      </c>
      <c r="C265" s="18">
        <v>4</v>
      </c>
    </row>
    <row r="266" spans="1:3" ht="12.75" hidden="1">
      <c r="A266" s="18">
        <v>99</v>
      </c>
      <c r="B266" s="18" t="s">
        <v>2307</v>
      </c>
      <c r="C266" s="18">
        <v>17</v>
      </c>
    </row>
    <row r="267" spans="1:3" ht="12.75" hidden="1">
      <c r="A267" s="18">
        <v>100</v>
      </c>
      <c r="B267" s="18" t="s">
        <v>2310</v>
      </c>
      <c r="C267" s="18">
        <v>1</v>
      </c>
    </row>
    <row r="268" spans="1:3" ht="12.75" hidden="1">
      <c r="A268" s="18">
        <v>101</v>
      </c>
      <c r="B268" s="18" t="s">
        <v>681</v>
      </c>
      <c r="C268" s="18">
        <v>3</v>
      </c>
    </row>
    <row r="269" spans="1:3" ht="12.75" hidden="1">
      <c r="A269" s="18">
        <v>102</v>
      </c>
      <c r="B269" s="18" t="s">
        <v>687</v>
      </c>
      <c r="C269" s="18">
        <v>14</v>
      </c>
    </row>
    <row r="270" spans="1:3" ht="12.75" hidden="1">
      <c r="A270" s="18">
        <v>103</v>
      </c>
      <c r="B270" s="18" t="s">
        <v>690</v>
      </c>
      <c r="C270" s="18">
        <v>6</v>
      </c>
    </row>
    <row r="271" spans="1:3" ht="12.75" hidden="1">
      <c r="A271" s="18">
        <v>104</v>
      </c>
      <c r="B271" s="18" t="s">
        <v>693</v>
      </c>
      <c r="C271" s="18">
        <v>7</v>
      </c>
    </row>
    <row r="272" spans="1:3" ht="12.75" hidden="1">
      <c r="A272" s="18">
        <v>105</v>
      </c>
      <c r="B272" s="18" t="s">
        <v>696</v>
      </c>
      <c r="C272" s="18">
        <v>14</v>
      </c>
    </row>
    <row r="273" spans="1:3" ht="12.75" hidden="1">
      <c r="A273" s="18">
        <v>106</v>
      </c>
      <c r="B273" s="18" t="s">
        <v>699</v>
      </c>
      <c r="C273" s="18">
        <v>6</v>
      </c>
    </row>
    <row r="274" spans="1:3" ht="12.75" hidden="1">
      <c r="A274" s="18">
        <v>107</v>
      </c>
      <c r="B274" s="18" t="s">
        <v>1358</v>
      </c>
      <c r="C274" s="18">
        <v>2</v>
      </c>
    </row>
    <row r="275" spans="1:3" ht="12.75" hidden="1">
      <c r="A275" s="18">
        <v>108</v>
      </c>
      <c r="B275" s="18" t="s">
        <v>833</v>
      </c>
      <c r="C275" s="18">
        <v>14</v>
      </c>
    </row>
    <row r="276" spans="1:3" ht="12.75" hidden="1">
      <c r="A276" s="18">
        <v>110</v>
      </c>
      <c r="B276" s="18" t="s">
        <v>1147</v>
      </c>
      <c r="C276" s="18">
        <v>14</v>
      </c>
    </row>
    <row r="277" spans="1:3" ht="12.75" hidden="1">
      <c r="A277" s="18">
        <v>111</v>
      </c>
      <c r="B277" s="18" t="s">
        <v>1667</v>
      </c>
      <c r="C277" s="18">
        <v>15</v>
      </c>
    </row>
    <row r="278" spans="1:3" ht="12.75" hidden="1">
      <c r="A278" s="18">
        <v>113</v>
      </c>
      <c r="B278" s="18" t="s">
        <v>2117</v>
      </c>
      <c r="C278" s="18">
        <v>1</v>
      </c>
    </row>
    <row r="279" spans="1:3" ht="12.75" hidden="1">
      <c r="A279" s="18">
        <v>114</v>
      </c>
      <c r="B279" s="18" t="s">
        <v>2119</v>
      </c>
      <c r="C279" s="18">
        <v>6</v>
      </c>
    </row>
    <row r="280" spans="1:3" ht="12.75" hidden="1">
      <c r="A280" s="18">
        <v>115</v>
      </c>
      <c r="B280" s="18" t="s">
        <v>2125</v>
      </c>
      <c r="C280" s="18">
        <v>14</v>
      </c>
    </row>
    <row r="281" spans="1:3" ht="12.75" hidden="1">
      <c r="A281" s="18">
        <v>116</v>
      </c>
      <c r="B281" s="18" t="s">
        <v>2128</v>
      </c>
      <c r="C281" s="18">
        <v>8</v>
      </c>
    </row>
    <row r="282" spans="1:3" ht="12.75" hidden="1">
      <c r="A282" s="18">
        <v>117</v>
      </c>
      <c r="B282" s="18" t="s">
        <v>2134</v>
      </c>
      <c r="C282" s="18">
        <v>12</v>
      </c>
    </row>
    <row r="283" spans="1:3" ht="12.75" hidden="1">
      <c r="A283" s="18">
        <v>118</v>
      </c>
      <c r="B283" s="18" t="s">
        <v>1055</v>
      </c>
      <c r="C283" s="18">
        <v>7</v>
      </c>
    </row>
    <row r="284" spans="1:3" ht="12.75" hidden="1">
      <c r="A284" s="18">
        <v>119</v>
      </c>
      <c r="B284" s="18" t="s">
        <v>1198</v>
      </c>
      <c r="C284" s="18">
        <v>4</v>
      </c>
    </row>
    <row r="285" spans="1:3" ht="12.75" hidden="1">
      <c r="A285" s="18">
        <v>120</v>
      </c>
      <c r="B285" s="18" t="s">
        <v>1201</v>
      </c>
      <c r="C285" s="18">
        <v>3</v>
      </c>
    </row>
    <row r="286" spans="1:3" ht="12.75" hidden="1">
      <c r="A286" s="18">
        <v>121</v>
      </c>
      <c r="B286" s="18" t="s">
        <v>2383</v>
      </c>
      <c r="C286" s="18">
        <v>6</v>
      </c>
    </row>
    <row r="287" spans="1:3" ht="12.75" hidden="1">
      <c r="A287" s="18">
        <v>122</v>
      </c>
      <c r="B287" s="18" t="s">
        <v>240</v>
      </c>
      <c r="C287" s="18">
        <v>20</v>
      </c>
    </row>
    <row r="288" spans="1:3" ht="12.75" hidden="1">
      <c r="A288" s="18">
        <v>123</v>
      </c>
      <c r="B288" s="18" t="s">
        <v>243</v>
      </c>
      <c r="C288" s="18">
        <v>14</v>
      </c>
    </row>
    <row r="289" spans="1:3" ht="12.75" hidden="1">
      <c r="A289" s="18">
        <v>124</v>
      </c>
      <c r="B289" s="18" t="s">
        <v>246</v>
      </c>
      <c r="C289" s="18">
        <v>2</v>
      </c>
    </row>
    <row r="290" spans="1:3" ht="12.75" hidden="1">
      <c r="A290" s="18">
        <v>125</v>
      </c>
      <c r="B290" s="18" t="s">
        <v>2687</v>
      </c>
      <c r="C290" s="18">
        <v>12</v>
      </c>
    </row>
    <row r="291" spans="1:3" ht="12.75" hidden="1">
      <c r="A291" s="18">
        <v>127</v>
      </c>
      <c r="B291" s="18" t="s">
        <v>2693</v>
      </c>
      <c r="C291" s="18">
        <v>5</v>
      </c>
    </row>
    <row r="292" spans="1:3" ht="12.75" hidden="1">
      <c r="A292" s="18">
        <v>129</v>
      </c>
      <c r="B292" s="18" t="s">
        <v>2409</v>
      </c>
      <c r="C292" s="18">
        <v>9</v>
      </c>
    </row>
    <row r="293" spans="1:3" ht="12.75" hidden="1">
      <c r="A293" s="18">
        <v>130</v>
      </c>
      <c r="B293" s="18" t="s">
        <v>2402</v>
      </c>
      <c r="C293" s="18">
        <v>13</v>
      </c>
    </row>
    <row r="294" spans="1:3" ht="12.75" hidden="1">
      <c r="A294" s="18">
        <v>131</v>
      </c>
      <c r="B294" s="18" t="s">
        <v>2405</v>
      </c>
      <c r="C294" s="18">
        <v>18</v>
      </c>
    </row>
    <row r="295" spans="1:3" ht="12.75" hidden="1">
      <c r="A295" s="18">
        <v>132</v>
      </c>
      <c r="B295" s="18" t="s">
        <v>138</v>
      </c>
      <c r="C295" s="18">
        <v>21</v>
      </c>
    </row>
    <row r="296" spans="1:3" ht="12.75" hidden="1">
      <c r="A296" s="18">
        <v>133</v>
      </c>
      <c r="B296" s="18" t="s">
        <v>2634</v>
      </c>
      <c r="C296" s="18">
        <v>17</v>
      </c>
    </row>
    <row r="297" spans="1:3" ht="12.75" hidden="1">
      <c r="A297" s="18">
        <v>134</v>
      </c>
      <c r="B297" s="18" t="s">
        <v>141</v>
      </c>
      <c r="C297" s="18">
        <v>1</v>
      </c>
    </row>
    <row r="298" spans="1:3" ht="12.75" hidden="1">
      <c r="A298" s="18">
        <v>135</v>
      </c>
      <c r="B298" s="18" t="s">
        <v>2372</v>
      </c>
      <c r="C298" s="18">
        <v>10</v>
      </c>
    </row>
    <row r="299" spans="1:3" ht="12.75" hidden="1">
      <c r="A299" s="18">
        <v>136</v>
      </c>
      <c r="B299" s="18" t="s">
        <v>2375</v>
      </c>
      <c r="C299" s="18">
        <v>16</v>
      </c>
    </row>
    <row r="300" spans="1:3" ht="12.75" hidden="1">
      <c r="A300" s="18">
        <v>137</v>
      </c>
      <c r="B300" s="18" t="s">
        <v>2378</v>
      </c>
      <c r="C300" s="18">
        <v>18</v>
      </c>
    </row>
    <row r="301" spans="1:3" ht="12.75" hidden="1">
      <c r="A301" s="18">
        <v>138</v>
      </c>
      <c r="B301" s="18" t="s">
        <v>2010</v>
      </c>
      <c r="C301" s="18">
        <v>7</v>
      </c>
    </row>
    <row r="302" spans="1:3" ht="12.75" hidden="1">
      <c r="A302" s="18">
        <v>139</v>
      </c>
      <c r="B302" s="18" t="s">
        <v>2013</v>
      </c>
      <c r="C302" s="18">
        <v>12</v>
      </c>
    </row>
    <row r="303" spans="1:3" ht="12.75" hidden="1">
      <c r="A303" s="18">
        <v>140</v>
      </c>
      <c r="B303" s="18" t="s">
        <v>2016</v>
      </c>
      <c r="C303" s="18">
        <v>16</v>
      </c>
    </row>
    <row r="304" spans="1:3" ht="12.75" hidden="1">
      <c r="A304" s="18">
        <v>141</v>
      </c>
      <c r="B304" s="18" t="s">
        <v>2019</v>
      </c>
      <c r="C304" s="18">
        <v>7</v>
      </c>
    </row>
    <row r="305" spans="1:3" ht="12.75" hidden="1">
      <c r="A305" s="18">
        <v>144</v>
      </c>
      <c r="B305" s="18" t="s">
        <v>183</v>
      </c>
      <c r="C305" s="18">
        <v>6</v>
      </c>
    </row>
    <row r="306" spans="1:3" ht="12.75" hidden="1">
      <c r="A306" s="18">
        <v>145</v>
      </c>
      <c r="B306" s="18" t="s">
        <v>186</v>
      </c>
      <c r="C306" s="18">
        <v>2</v>
      </c>
    </row>
    <row r="307" spans="1:3" ht="12.75" hidden="1">
      <c r="A307" s="18">
        <v>146</v>
      </c>
      <c r="B307" s="18" t="s">
        <v>189</v>
      </c>
      <c r="C307" s="18">
        <v>17</v>
      </c>
    </row>
    <row r="308" spans="1:3" ht="12.75" hidden="1">
      <c r="A308" s="18">
        <v>148</v>
      </c>
      <c r="B308" s="18" t="s">
        <v>192</v>
      </c>
      <c r="C308" s="18">
        <v>3</v>
      </c>
    </row>
    <row r="309" spans="1:3" ht="12.75" hidden="1">
      <c r="A309" s="18">
        <v>149</v>
      </c>
      <c r="B309" s="18" t="s">
        <v>896</v>
      </c>
      <c r="C309" s="18">
        <v>3</v>
      </c>
    </row>
    <row r="310" spans="1:3" ht="12.75" hidden="1">
      <c r="A310" s="18">
        <v>150</v>
      </c>
      <c r="B310" s="18" t="s">
        <v>1725</v>
      </c>
      <c r="C310" s="18">
        <v>5</v>
      </c>
    </row>
    <row r="311" spans="1:3" ht="12.75" hidden="1">
      <c r="A311" s="18">
        <v>151</v>
      </c>
      <c r="B311" s="18" t="s">
        <v>1543</v>
      </c>
      <c r="C311" s="18">
        <v>2</v>
      </c>
    </row>
    <row r="312" spans="1:3" ht="12.75" hidden="1">
      <c r="A312" s="18">
        <v>152</v>
      </c>
      <c r="B312" s="18" t="s">
        <v>1115</v>
      </c>
      <c r="C312" s="18">
        <v>17</v>
      </c>
    </row>
    <row r="313" spans="1:3" ht="12.75" hidden="1">
      <c r="A313" s="18">
        <v>153</v>
      </c>
      <c r="B313" s="18" t="s">
        <v>962</v>
      </c>
      <c r="C313" s="18">
        <v>16</v>
      </c>
    </row>
    <row r="314" spans="1:3" ht="12.75" hidden="1">
      <c r="A314" s="18">
        <v>154</v>
      </c>
      <c r="B314" s="18" t="s">
        <v>965</v>
      </c>
      <c r="C314" s="18">
        <v>17</v>
      </c>
    </row>
    <row r="315" spans="1:3" ht="12.75" hidden="1">
      <c r="A315" s="18">
        <v>155</v>
      </c>
      <c r="B315" s="18" t="s">
        <v>968</v>
      </c>
      <c r="C315" s="18">
        <v>5</v>
      </c>
    </row>
    <row r="316" spans="1:3" ht="12.75" hidden="1">
      <c r="A316" s="18">
        <v>156</v>
      </c>
      <c r="B316" s="18" t="s">
        <v>2212</v>
      </c>
      <c r="C316" s="18">
        <v>1</v>
      </c>
    </row>
    <row r="317" spans="1:3" ht="12.75" hidden="1">
      <c r="A317" s="18">
        <v>158</v>
      </c>
      <c r="B317" s="18" t="s">
        <v>2215</v>
      </c>
      <c r="C317" s="18">
        <v>16</v>
      </c>
    </row>
    <row r="318" spans="1:3" ht="12.75" hidden="1">
      <c r="A318" s="18">
        <v>159</v>
      </c>
      <c r="B318" s="18" t="s">
        <v>2218</v>
      </c>
      <c r="C318" s="18">
        <v>7</v>
      </c>
    </row>
    <row r="319" spans="1:3" ht="12.75" hidden="1">
      <c r="A319" s="18">
        <v>161</v>
      </c>
      <c r="B319" s="18" t="s">
        <v>2221</v>
      </c>
      <c r="C319" s="18">
        <v>1</v>
      </c>
    </row>
    <row r="320" spans="1:3" ht="12.75" hidden="1">
      <c r="A320" s="18">
        <v>163</v>
      </c>
      <c r="B320" s="18" t="s">
        <v>2227</v>
      </c>
      <c r="C320" s="18">
        <v>11</v>
      </c>
    </row>
    <row r="321" spans="1:3" ht="12.75" hidden="1">
      <c r="A321" s="18">
        <v>164</v>
      </c>
      <c r="B321" s="18" t="s">
        <v>2230</v>
      </c>
      <c r="C321" s="18">
        <v>5</v>
      </c>
    </row>
    <row r="322" spans="1:3" ht="12.75" hidden="1">
      <c r="A322" s="18">
        <v>165</v>
      </c>
      <c r="B322" s="18" t="s">
        <v>2233</v>
      </c>
      <c r="C322" s="18">
        <v>16</v>
      </c>
    </row>
    <row r="323" spans="1:3" ht="12.75" hidden="1">
      <c r="A323" s="18">
        <v>166</v>
      </c>
      <c r="B323" s="18" t="s">
        <v>2239</v>
      </c>
      <c r="C323" s="18">
        <v>13</v>
      </c>
    </row>
    <row r="324" spans="1:3" ht="12.75" hidden="1">
      <c r="A324" s="18">
        <v>167</v>
      </c>
      <c r="B324" s="18" t="s">
        <v>2242</v>
      </c>
      <c r="C324" s="18">
        <v>3</v>
      </c>
    </row>
    <row r="325" spans="1:3" ht="12.75" hidden="1">
      <c r="A325" s="18">
        <v>168</v>
      </c>
      <c r="B325" s="18" t="s">
        <v>2245</v>
      </c>
      <c r="C325" s="18">
        <v>1</v>
      </c>
    </row>
    <row r="326" spans="1:3" ht="12.75" hidden="1">
      <c r="A326" s="18">
        <v>169</v>
      </c>
      <c r="B326" s="18" t="s">
        <v>2248</v>
      </c>
      <c r="C326" s="18">
        <v>8</v>
      </c>
    </row>
    <row r="327" spans="1:3" ht="12.75" hidden="1">
      <c r="A327" s="18">
        <v>170</v>
      </c>
      <c r="B327" s="18" t="s">
        <v>2251</v>
      </c>
      <c r="C327" s="18">
        <v>17</v>
      </c>
    </row>
    <row r="328" spans="1:3" ht="12.75" hidden="1">
      <c r="A328" s="18">
        <v>171</v>
      </c>
      <c r="B328" s="18" t="s">
        <v>2629</v>
      </c>
      <c r="C328" s="18">
        <v>4</v>
      </c>
    </row>
    <row r="329" spans="1:3" ht="12.75" hidden="1">
      <c r="A329" s="18">
        <v>172</v>
      </c>
      <c r="B329" s="18" t="s">
        <v>2635</v>
      </c>
      <c r="C329" s="18">
        <v>13</v>
      </c>
    </row>
    <row r="330" spans="1:3" ht="12.75" hidden="1">
      <c r="A330" s="18">
        <v>173</v>
      </c>
      <c r="B330" s="18" t="s">
        <v>2638</v>
      </c>
      <c r="C330" s="18">
        <v>18</v>
      </c>
    </row>
    <row r="331" spans="1:3" ht="12.75" hidden="1">
      <c r="A331" s="18">
        <v>175</v>
      </c>
      <c r="B331" s="18" t="s">
        <v>2650</v>
      </c>
      <c r="C331" s="18">
        <v>7</v>
      </c>
    </row>
    <row r="332" spans="1:3" ht="12.75" hidden="1">
      <c r="A332" s="18">
        <v>176</v>
      </c>
      <c r="B332" s="18" t="s">
        <v>2653</v>
      </c>
      <c r="C332" s="18">
        <v>11</v>
      </c>
    </row>
    <row r="333" spans="1:3" ht="12.75" hidden="1">
      <c r="A333" s="18">
        <v>177</v>
      </c>
      <c r="B333" s="18" t="s">
        <v>511</v>
      </c>
      <c r="C333" s="18">
        <v>9</v>
      </c>
    </row>
    <row r="334" spans="1:3" ht="12.75" hidden="1">
      <c r="A334" s="18">
        <v>178</v>
      </c>
      <c r="B334" s="18" t="s">
        <v>514</v>
      </c>
      <c r="C334" s="18">
        <v>4</v>
      </c>
    </row>
    <row r="335" spans="1:3" ht="12.75" hidden="1">
      <c r="A335" s="18">
        <v>179</v>
      </c>
      <c r="B335" s="18" t="s">
        <v>1205</v>
      </c>
      <c r="C335" s="18">
        <v>8</v>
      </c>
    </row>
    <row r="336" spans="1:3" ht="12.75" hidden="1">
      <c r="A336" s="18">
        <v>180</v>
      </c>
      <c r="B336" s="18" t="s">
        <v>2424</v>
      </c>
      <c r="C336" s="18">
        <v>17</v>
      </c>
    </row>
    <row r="337" spans="1:3" ht="12.75" hidden="1">
      <c r="A337" s="18">
        <v>181</v>
      </c>
      <c r="B337" s="18" t="s">
        <v>937</v>
      </c>
      <c r="C337" s="18">
        <v>15</v>
      </c>
    </row>
    <row r="338" spans="1:3" ht="12.75" hidden="1">
      <c r="A338" s="18">
        <v>183</v>
      </c>
      <c r="B338" s="18" t="s">
        <v>122</v>
      </c>
      <c r="C338" s="18">
        <v>15</v>
      </c>
    </row>
    <row r="339" spans="1:3" ht="12.75" hidden="1">
      <c r="A339" s="18">
        <v>184</v>
      </c>
      <c r="B339" s="18" t="s">
        <v>123</v>
      </c>
      <c r="C339" s="18">
        <v>12</v>
      </c>
    </row>
    <row r="340" spans="1:3" ht="12.75" hidden="1">
      <c r="A340" s="18">
        <v>185</v>
      </c>
      <c r="B340" s="18" t="s">
        <v>1657</v>
      </c>
      <c r="C340" s="18">
        <v>8</v>
      </c>
    </row>
    <row r="341" spans="1:3" ht="12.75" hidden="1">
      <c r="A341" s="18">
        <v>186</v>
      </c>
      <c r="B341" s="18" t="s">
        <v>1660</v>
      </c>
      <c r="C341" s="18">
        <v>2</v>
      </c>
    </row>
    <row r="342" spans="1:3" ht="12.75" hidden="1">
      <c r="A342" s="18">
        <v>187</v>
      </c>
      <c r="B342" s="18" t="s">
        <v>1663</v>
      </c>
      <c r="C342" s="18">
        <v>5</v>
      </c>
    </row>
    <row r="343" spans="1:3" ht="12.75" hidden="1">
      <c r="A343" s="18">
        <v>189</v>
      </c>
      <c r="B343" s="18" t="s">
        <v>856</v>
      </c>
      <c r="C343" s="18">
        <v>1</v>
      </c>
    </row>
    <row r="344" spans="1:3" ht="12.75" hidden="1">
      <c r="A344" s="18">
        <v>190</v>
      </c>
      <c r="B344" s="18" t="s">
        <v>859</v>
      </c>
      <c r="C344" s="18">
        <v>17</v>
      </c>
    </row>
    <row r="345" spans="1:3" ht="12.75" hidden="1">
      <c r="A345" s="18">
        <v>192</v>
      </c>
      <c r="B345" s="18" t="s">
        <v>1729</v>
      </c>
      <c r="C345" s="18">
        <v>1</v>
      </c>
    </row>
    <row r="346" spans="1:3" ht="12.75" hidden="1">
      <c r="A346" s="18">
        <v>193</v>
      </c>
      <c r="B346" s="18" t="s">
        <v>1374</v>
      </c>
      <c r="C346" s="18">
        <v>6</v>
      </c>
    </row>
    <row r="347" spans="1:3" ht="12.75" hidden="1">
      <c r="A347" s="18">
        <v>194</v>
      </c>
      <c r="B347" s="18" t="s">
        <v>1377</v>
      </c>
      <c r="C347" s="18">
        <v>14</v>
      </c>
    </row>
    <row r="348" spans="1:3" ht="12.75" hidden="1">
      <c r="A348" s="18">
        <v>195</v>
      </c>
      <c r="B348" s="18" t="s">
        <v>1380</v>
      </c>
      <c r="C348" s="18">
        <v>15</v>
      </c>
    </row>
    <row r="349" spans="1:3" ht="12.75" hidden="1">
      <c r="A349" s="18">
        <v>196</v>
      </c>
      <c r="B349" s="18" t="s">
        <v>1383</v>
      </c>
      <c r="C349" s="18">
        <v>17</v>
      </c>
    </row>
    <row r="350" spans="1:3" ht="12.75" hidden="1">
      <c r="A350" s="18">
        <v>197</v>
      </c>
      <c r="B350" s="18" t="s">
        <v>1389</v>
      </c>
      <c r="C350" s="18">
        <v>19</v>
      </c>
    </row>
    <row r="351" spans="1:3" ht="12.75" hidden="1">
      <c r="A351" s="18">
        <v>198</v>
      </c>
      <c r="B351" s="18" t="s">
        <v>1392</v>
      </c>
      <c r="C351" s="18">
        <v>7</v>
      </c>
    </row>
    <row r="352" spans="1:3" ht="12.75" hidden="1">
      <c r="A352" s="18">
        <v>199</v>
      </c>
      <c r="B352" s="18" t="s">
        <v>508</v>
      </c>
      <c r="C352" s="18">
        <v>2</v>
      </c>
    </row>
    <row r="353" spans="1:3" ht="12.75" hidden="1">
      <c r="A353" s="18">
        <v>200</v>
      </c>
      <c r="B353" s="18" t="s">
        <v>672</v>
      </c>
      <c r="C353" s="18">
        <v>6</v>
      </c>
    </row>
    <row r="354" spans="1:3" ht="12.75" hidden="1">
      <c r="A354" s="18">
        <v>201</v>
      </c>
      <c r="B354" s="18" t="s">
        <v>1211</v>
      </c>
      <c r="C354" s="18">
        <v>6</v>
      </c>
    </row>
    <row r="355" spans="1:3" ht="12.75" hidden="1">
      <c r="A355" s="18">
        <v>202</v>
      </c>
      <c r="B355" s="18" t="s">
        <v>1214</v>
      </c>
      <c r="C355" s="18">
        <v>6</v>
      </c>
    </row>
    <row r="356" spans="1:3" ht="12.75" hidden="1">
      <c r="A356" s="18">
        <v>203</v>
      </c>
      <c r="B356" s="18" t="s">
        <v>1217</v>
      </c>
      <c r="C356" s="18">
        <v>19</v>
      </c>
    </row>
    <row r="357" spans="1:3" ht="12.75" hidden="1">
      <c r="A357" s="18">
        <v>204</v>
      </c>
      <c r="B357" s="18" t="s">
        <v>1220</v>
      </c>
      <c r="C357" s="18">
        <v>14</v>
      </c>
    </row>
    <row r="358" spans="1:3" ht="12.75" hidden="1">
      <c r="A358" s="18">
        <v>205</v>
      </c>
      <c r="B358" s="18" t="s">
        <v>1226</v>
      </c>
      <c r="C358" s="18">
        <v>20</v>
      </c>
    </row>
    <row r="359" spans="1:3" ht="12.75" hidden="1">
      <c r="A359" s="18">
        <v>206</v>
      </c>
      <c r="B359" s="18" t="s">
        <v>1229</v>
      </c>
      <c r="C359" s="18">
        <v>2</v>
      </c>
    </row>
    <row r="360" spans="1:3" ht="12.75" hidden="1">
      <c r="A360" s="18">
        <v>208</v>
      </c>
      <c r="B360" s="18" t="s">
        <v>1232</v>
      </c>
      <c r="C360" s="18">
        <v>8</v>
      </c>
    </row>
    <row r="361" spans="1:3" ht="12.75" hidden="1">
      <c r="A361" s="18">
        <v>209</v>
      </c>
      <c r="B361" s="18" t="s">
        <v>1618</v>
      </c>
      <c r="C361" s="18">
        <v>2</v>
      </c>
    </row>
    <row r="362" spans="1:3" ht="12.75" hidden="1">
      <c r="A362" s="18">
        <v>211</v>
      </c>
      <c r="B362" s="18" t="s">
        <v>1621</v>
      </c>
      <c r="C362" s="18">
        <v>2</v>
      </c>
    </row>
    <row r="363" spans="1:3" ht="12.75" hidden="1">
      <c r="A363" s="18">
        <v>212</v>
      </c>
      <c r="B363" s="18" t="s">
        <v>1624</v>
      </c>
      <c r="C363" s="18">
        <v>1</v>
      </c>
    </row>
    <row r="364" spans="1:3" ht="12.75" hidden="1">
      <c r="A364" s="18">
        <v>213</v>
      </c>
      <c r="B364" s="18" t="s">
        <v>1633</v>
      </c>
      <c r="C364" s="18">
        <v>6</v>
      </c>
    </row>
    <row r="365" spans="1:3" ht="12.75" hidden="1">
      <c r="A365" s="18">
        <v>214</v>
      </c>
      <c r="B365" s="18" t="s">
        <v>1636</v>
      </c>
      <c r="C365" s="18">
        <v>8</v>
      </c>
    </row>
    <row r="366" spans="1:3" ht="12.75" hidden="1">
      <c r="A366" s="18">
        <v>215</v>
      </c>
      <c r="B366" s="18" t="s">
        <v>158</v>
      </c>
      <c r="C366" s="18">
        <v>4</v>
      </c>
    </row>
    <row r="367" spans="1:3" ht="12.75" hidden="1">
      <c r="A367" s="18">
        <v>216</v>
      </c>
      <c r="B367" s="18" t="s">
        <v>1496</v>
      </c>
      <c r="C367" s="18">
        <v>18</v>
      </c>
    </row>
    <row r="368" spans="1:3" ht="12.75" hidden="1">
      <c r="A368" s="18">
        <v>217</v>
      </c>
      <c r="B368" s="18" t="s">
        <v>1499</v>
      </c>
      <c r="C368" s="18">
        <v>19</v>
      </c>
    </row>
    <row r="369" spans="1:3" ht="12.75" hidden="1">
      <c r="A369" s="18">
        <v>219</v>
      </c>
      <c r="B369" s="18" t="s">
        <v>1532</v>
      </c>
      <c r="C369" s="18">
        <v>3</v>
      </c>
    </row>
    <row r="370" spans="1:3" ht="12.75" hidden="1">
      <c r="A370" s="18">
        <v>220</v>
      </c>
      <c r="B370" s="18" t="s">
        <v>1538</v>
      </c>
      <c r="C370" s="18">
        <v>11</v>
      </c>
    </row>
    <row r="371" spans="1:3" ht="12.75" hidden="1">
      <c r="A371" s="18">
        <v>221</v>
      </c>
      <c r="B371" s="18" t="s">
        <v>1541</v>
      </c>
      <c r="C371" s="18">
        <v>18</v>
      </c>
    </row>
    <row r="372" spans="1:3" ht="12.75" hidden="1">
      <c r="A372" s="18">
        <v>222</v>
      </c>
      <c r="B372" s="18" t="s">
        <v>1544</v>
      </c>
      <c r="C372" s="18">
        <v>18</v>
      </c>
    </row>
    <row r="373" spans="1:3" ht="12.75" hidden="1">
      <c r="A373" s="18">
        <v>223</v>
      </c>
      <c r="B373" s="18" t="s">
        <v>1547</v>
      </c>
      <c r="C373" s="18">
        <v>4</v>
      </c>
    </row>
    <row r="374" spans="1:3" ht="12.75" hidden="1">
      <c r="A374" s="18">
        <v>225</v>
      </c>
      <c r="B374" s="18" t="s">
        <v>1550</v>
      </c>
      <c r="C374" s="18">
        <v>19</v>
      </c>
    </row>
    <row r="375" spans="1:3" ht="12.75" hidden="1">
      <c r="A375" s="18">
        <v>226</v>
      </c>
      <c r="B375" s="18" t="s">
        <v>1553</v>
      </c>
      <c r="C375" s="18">
        <v>6</v>
      </c>
    </row>
    <row r="376" spans="1:3" ht="12.75" hidden="1">
      <c r="A376" s="18">
        <v>227</v>
      </c>
      <c r="B376" s="18" t="s">
        <v>2446</v>
      </c>
      <c r="C376" s="18">
        <v>3</v>
      </c>
    </row>
    <row r="377" spans="1:3" ht="12.75" hidden="1">
      <c r="A377" s="18">
        <v>228</v>
      </c>
      <c r="B377" s="18" t="s">
        <v>2449</v>
      </c>
      <c r="C377" s="18">
        <v>5</v>
      </c>
    </row>
    <row r="378" spans="1:3" ht="12.75" hidden="1">
      <c r="A378" s="18">
        <v>229</v>
      </c>
      <c r="B378" s="18" t="s">
        <v>2452</v>
      </c>
      <c r="C378" s="18">
        <v>14</v>
      </c>
    </row>
    <row r="379" spans="1:3" ht="12.75" hidden="1">
      <c r="A379" s="18">
        <v>230</v>
      </c>
      <c r="B379" s="18" t="s">
        <v>2455</v>
      </c>
      <c r="C379" s="18">
        <v>11</v>
      </c>
    </row>
    <row r="380" spans="1:3" ht="12.75" hidden="1">
      <c r="A380" s="18">
        <v>231</v>
      </c>
      <c r="B380" s="18" t="s">
        <v>1104</v>
      </c>
      <c r="C380" s="18">
        <v>3</v>
      </c>
    </row>
    <row r="381" spans="1:3" ht="12.75" hidden="1">
      <c r="A381" s="18">
        <v>232</v>
      </c>
      <c r="B381" s="18" t="s">
        <v>1314</v>
      </c>
      <c r="C381" s="18">
        <v>13</v>
      </c>
    </row>
    <row r="382" spans="1:3" ht="12.75" hidden="1">
      <c r="A382" s="18">
        <v>234</v>
      </c>
      <c r="B382" s="18" t="s">
        <v>1317</v>
      </c>
      <c r="C382" s="18">
        <v>18</v>
      </c>
    </row>
    <row r="383" spans="1:3" ht="12.75" hidden="1">
      <c r="A383" s="18">
        <v>235</v>
      </c>
      <c r="B383" s="18" t="s">
        <v>1320</v>
      </c>
      <c r="C383" s="18">
        <v>2</v>
      </c>
    </row>
    <row r="384" spans="1:3" ht="12.75" hidden="1">
      <c r="A384" s="18">
        <v>236</v>
      </c>
      <c r="B384" s="18" t="s">
        <v>1323</v>
      </c>
      <c r="C384" s="18">
        <v>8</v>
      </c>
    </row>
    <row r="385" spans="1:3" ht="12.75" hidden="1">
      <c r="A385" s="18">
        <v>237</v>
      </c>
      <c r="B385" s="18" t="s">
        <v>1326</v>
      </c>
      <c r="C385" s="18">
        <v>16</v>
      </c>
    </row>
    <row r="386" spans="1:3" ht="12.75" hidden="1">
      <c r="A386" s="18">
        <v>239</v>
      </c>
      <c r="B386" s="18" t="s">
        <v>1335</v>
      </c>
      <c r="C386" s="18">
        <v>9</v>
      </c>
    </row>
    <row r="387" spans="1:3" ht="12.75" hidden="1">
      <c r="A387" s="18">
        <v>240</v>
      </c>
      <c r="B387" s="18" t="s">
        <v>1338</v>
      </c>
      <c r="C387" s="18">
        <v>8</v>
      </c>
    </row>
    <row r="388" spans="1:3" ht="12.75" hidden="1">
      <c r="A388" s="18">
        <v>242</v>
      </c>
      <c r="B388" s="18" t="s">
        <v>909</v>
      </c>
      <c r="C388" s="18">
        <v>17</v>
      </c>
    </row>
    <row r="389" spans="1:3" ht="12.75" hidden="1">
      <c r="A389" s="18">
        <v>243</v>
      </c>
      <c r="B389" s="18" t="s">
        <v>912</v>
      </c>
      <c r="C389" s="18">
        <v>5</v>
      </c>
    </row>
    <row r="390" spans="1:3" ht="12.75" hidden="1">
      <c r="A390" s="18">
        <v>244</v>
      </c>
      <c r="B390" s="18" t="s">
        <v>915</v>
      </c>
      <c r="C390" s="18">
        <v>10</v>
      </c>
    </row>
    <row r="391" spans="1:3" ht="12.75" hidden="1">
      <c r="A391" s="18">
        <v>245</v>
      </c>
      <c r="B391" s="18" t="s">
        <v>1282</v>
      </c>
      <c r="C391" s="18">
        <v>18</v>
      </c>
    </row>
    <row r="392" spans="1:3" ht="12.75" hidden="1">
      <c r="A392" s="18">
        <v>246</v>
      </c>
      <c r="B392" s="18" t="s">
        <v>1288</v>
      </c>
      <c r="C392" s="18">
        <v>5</v>
      </c>
    </row>
    <row r="393" spans="1:3" ht="12.75" hidden="1">
      <c r="A393" s="18">
        <v>247</v>
      </c>
      <c r="B393" s="18" t="s">
        <v>1291</v>
      </c>
      <c r="C393" s="18">
        <v>2</v>
      </c>
    </row>
    <row r="394" spans="1:3" ht="12.75" hidden="1">
      <c r="A394" s="18">
        <v>248</v>
      </c>
      <c r="B394" s="18" t="s">
        <v>1294</v>
      </c>
      <c r="C394" s="18">
        <v>17</v>
      </c>
    </row>
    <row r="395" spans="1:3" ht="12.75" hidden="1">
      <c r="A395" s="18">
        <v>249</v>
      </c>
      <c r="B395" s="18" t="s">
        <v>1303</v>
      </c>
      <c r="C395" s="18">
        <v>20</v>
      </c>
    </row>
    <row r="396" spans="1:3" ht="12.75" hidden="1">
      <c r="A396" s="18">
        <v>250</v>
      </c>
      <c r="B396" s="18" t="s">
        <v>1306</v>
      </c>
      <c r="C396" s="18">
        <v>5</v>
      </c>
    </row>
    <row r="397" spans="1:3" ht="12.75" hidden="1">
      <c r="A397" s="18">
        <v>251</v>
      </c>
      <c r="B397" s="18" t="s">
        <v>1309</v>
      </c>
      <c r="C397" s="18">
        <v>8</v>
      </c>
    </row>
    <row r="398" spans="1:3" ht="12.75" hidden="1">
      <c r="A398" s="18">
        <v>252</v>
      </c>
      <c r="B398" s="18" t="s">
        <v>217</v>
      </c>
      <c r="C398" s="18">
        <v>8</v>
      </c>
    </row>
    <row r="399" spans="1:3" ht="12.75" hidden="1">
      <c r="A399" s="18">
        <v>253</v>
      </c>
      <c r="B399" s="18" t="s">
        <v>1174</v>
      </c>
      <c r="C399" s="18">
        <v>18</v>
      </c>
    </row>
    <row r="400" spans="1:3" ht="12.75" hidden="1">
      <c r="A400" s="18">
        <v>254</v>
      </c>
      <c r="B400" s="18" t="s">
        <v>1176</v>
      </c>
      <c r="C400" s="18">
        <v>2</v>
      </c>
    </row>
    <row r="401" spans="1:3" ht="12.75" hidden="1">
      <c r="A401" s="18">
        <v>256</v>
      </c>
      <c r="B401" s="18" t="s">
        <v>1179</v>
      </c>
      <c r="C401" s="18">
        <v>14</v>
      </c>
    </row>
    <row r="402" spans="1:3" ht="12.75" hidden="1">
      <c r="A402" s="18">
        <v>257</v>
      </c>
      <c r="B402" s="18" t="s">
        <v>1185</v>
      </c>
      <c r="C402" s="18">
        <v>17</v>
      </c>
    </row>
    <row r="403" spans="1:3" ht="12.75" hidden="1">
      <c r="A403" s="18">
        <v>258</v>
      </c>
      <c r="B403" s="18" t="s">
        <v>2387</v>
      </c>
      <c r="C403" s="18">
        <v>3</v>
      </c>
    </row>
    <row r="404" spans="1:3" ht="12.75" hidden="1">
      <c r="A404" s="18">
        <v>259</v>
      </c>
      <c r="B404" s="18" t="s">
        <v>2393</v>
      </c>
      <c r="C404" s="18">
        <v>5</v>
      </c>
    </row>
    <row r="405" spans="1:3" ht="12.75" hidden="1">
      <c r="A405" s="18">
        <v>260</v>
      </c>
      <c r="B405" s="18" t="s">
        <v>2200</v>
      </c>
      <c r="C405" s="18">
        <v>8</v>
      </c>
    </row>
    <row r="406" spans="1:3" ht="12.75" hidden="1">
      <c r="A406" s="18">
        <v>261</v>
      </c>
      <c r="B406" s="18" t="s">
        <v>1089</v>
      </c>
      <c r="C406" s="18">
        <v>18</v>
      </c>
    </row>
    <row r="407" spans="1:3" ht="12.75" hidden="1">
      <c r="A407" s="18">
        <v>263</v>
      </c>
      <c r="B407" s="18" t="s">
        <v>1092</v>
      </c>
      <c r="C407" s="18">
        <v>19</v>
      </c>
    </row>
    <row r="408" spans="1:3" ht="12.75" hidden="1">
      <c r="A408" s="18">
        <v>264</v>
      </c>
      <c r="B408" s="18" t="s">
        <v>2203</v>
      </c>
      <c r="C408" s="18">
        <v>2</v>
      </c>
    </row>
    <row r="409" spans="1:3" ht="12.75" hidden="1">
      <c r="A409" s="18">
        <v>265</v>
      </c>
      <c r="B409" s="18" t="s">
        <v>2205</v>
      </c>
      <c r="C409" s="18">
        <v>10</v>
      </c>
    </row>
    <row r="410" spans="1:3" ht="12.75" hidden="1">
      <c r="A410" s="18">
        <v>266</v>
      </c>
      <c r="B410" s="18" t="s">
        <v>2742</v>
      </c>
      <c r="C410" s="18">
        <v>17</v>
      </c>
    </row>
    <row r="411" spans="1:3" ht="12.75" hidden="1">
      <c r="A411" s="18">
        <v>267</v>
      </c>
      <c r="B411" s="18" t="s">
        <v>2745</v>
      </c>
      <c r="C411" s="18">
        <v>19</v>
      </c>
    </row>
    <row r="412" spans="1:3" ht="12.75" hidden="1">
      <c r="A412" s="18">
        <v>268</v>
      </c>
      <c r="B412" s="18" t="s">
        <v>2748</v>
      </c>
      <c r="C412" s="18">
        <v>6</v>
      </c>
    </row>
    <row r="413" spans="1:3" ht="12.75" hidden="1">
      <c r="A413" s="18">
        <v>270</v>
      </c>
      <c r="B413" s="18" t="s">
        <v>2751</v>
      </c>
      <c r="C413" s="18">
        <v>14</v>
      </c>
    </row>
    <row r="414" spans="1:3" ht="12.75" hidden="1">
      <c r="A414" s="18">
        <v>271</v>
      </c>
      <c r="B414" s="18" t="s">
        <v>2234</v>
      </c>
      <c r="C414" s="18">
        <v>8</v>
      </c>
    </row>
    <row r="415" spans="1:3" ht="12.75" hidden="1">
      <c r="A415" s="18">
        <v>273</v>
      </c>
      <c r="B415" s="18" t="s">
        <v>920</v>
      </c>
      <c r="C415" s="18">
        <v>18</v>
      </c>
    </row>
    <row r="416" spans="1:3" ht="12.75" hidden="1">
      <c r="A416" s="18">
        <v>274</v>
      </c>
      <c r="B416" s="18" t="s">
        <v>922</v>
      </c>
      <c r="C416" s="18">
        <v>8</v>
      </c>
    </row>
    <row r="417" spans="1:3" ht="12.75" hidden="1">
      <c r="A417" s="18">
        <v>275</v>
      </c>
      <c r="B417" s="18" t="s">
        <v>925</v>
      </c>
      <c r="C417" s="18">
        <v>20</v>
      </c>
    </row>
    <row r="418" spans="1:3" ht="12.75" hidden="1">
      <c r="A418" s="18">
        <v>276</v>
      </c>
      <c r="B418" s="18" t="s">
        <v>2533</v>
      </c>
      <c r="C418" s="18">
        <v>14</v>
      </c>
    </row>
    <row r="419" spans="1:3" ht="12.75" hidden="1">
      <c r="A419" s="18">
        <v>278</v>
      </c>
      <c r="B419" s="18" t="s">
        <v>1882</v>
      </c>
      <c r="C419" s="18">
        <v>20</v>
      </c>
    </row>
    <row r="420" spans="1:3" ht="12.75" hidden="1">
      <c r="A420" s="18">
        <v>279</v>
      </c>
      <c r="B420" s="18" t="s">
        <v>883</v>
      </c>
      <c r="C420" s="18">
        <v>17</v>
      </c>
    </row>
    <row r="421" spans="1:3" ht="12.75" hidden="1">
      <c r="A421" s="18">
        <v>280</v>
      </c>
      <c r="B421" s="18" t="s">
        <v>2308</v>
      </c>
      <c r="C421" s="18">
        <v>4</v>
      </c>
    </row>
    <row r="422" spans="1:3" ht="12.75" hidden="1">
      <c r="A422" s="18">
        <v>281</v>
      </c>
      <c r="B422" s="18" t="s">
        <v>2311</v>
      </c>
      <c r="C422" s="18">
        <v>13</v>
      </c>
    </row>
    <row r="423" spans="1:3" ht="12.75" hidden="1">
      <c r="A423" s="18">
        <v>282</v>
      </c>
      <c r="B423" s="18" t="s">
        <v>685</v>
      </c>
      <c r="C423" s="18">
        <v>10</v>
      </c>
    </row>
    <row r="424" spans="1:3" ht="12.75" hidden="1">
      <c r="A424" s="18">
        <v>283</v>
      </c>
      <c r="B424" s="18" t="s">
        <v>688</v>
      </c>
      <c r="C424" s="18">
        <v>12</v>
      </c>
    </row>
    <row r="425" spans="1:3" ht="12.75" hidden="1">
      <c r="A425" s="18">
        <v>284</v>
      </c>
      <c r="B425" s="18" t="s">
        <v>691</v>
      </c>
      <c r="C425" s="18">
        <v>12</v>
      </c>
    </row>
    <row r="426" spans="1:3" ht="12.75" hidden="1">
      <c r="A426" s="18">
        <v>285</v>
      </c>
      <c r="B426" s="18" t="s">
        <v>694</v>
      </c>
      <c r="C426" s="18">
        <v>7</v>
      </c>
    </row>
    <row r="427" spans="1:3" ht="12.75" hidden="1">
      <c r="A427" s="18">
        <v>287</v>
      </c>
      <c r="B427" s="18" t="s">
        <v>697</v>
      </c>
      <c r="C427" s="18">
        <v>9</v>
      </c>
    </row>
    <row r="428" spans="1:3" ht="12.75" hidden="1">
      <c r="A428" s="18">
        <v>288</v>
      </c>
      <c r="B428" s="18" t="s">
        <v>700</v>
      </c>
      <c r="C428" s="18">
        <v>5</v>
      </c>
    </row>
    <row r="429" spans="1:3" ht="12.75" hidden="1">
      <c r="A429" s="18">
        <v>289</v>
      </c>
      <c r="B429" s="18" t="s">
        <v>834</v>
      </c>
      <c r="C429" s="18">
        <v>8</v>
      </c>
    </row>
    <row r="430" spans="1:3" ht="12.75" hidden="1">
      <c r="A430" s="18">
        <v>290</v>
      </c>
      <c r="B430" s="18" t="s">
        <v>1149</v>
      </c>
      <c r="C430" s="18">
        <v>18</v>
      </c>
    </row>
    <row r="431" spans="1:3" ht="12.75" hidden="1">
      <c r="A431" s="18">
        <v>291</v>
      </c>
      <c r="B431" s="18" t="s">
        <v>1116</v>
      </c>
      <c r="C431" s="18">
        <v>6</v>
      </c>
    </row>
    <row r="432" spans="1:3" ht="12.75" hidden="1">
      <c r="A432" s="18">
        <v>292</v>
      </c>
      <c r="B432" s="18" t="s">
        <v>2120</v>
      </c>
      <c r="C432" s="18">
        <v>3</v>
      </c>
    </row>
    <row r="433" spans="1:3" ht="12.75" hidden="1">
      <c r="A433" s="18">
        <v>293</v>
      </c>
      <c r="B433" s="18" t="s">
        <v>2126</v>
      </c>
      <c r="C433" s="18">
        <v>16</v>
      </c>
    </row>
    <row r="434" spans="1:3" ht="12.75" hidden="1">
      <c r="A434" s="18">
        <v>294</v>
      </c>
      <c r="B434" s="18" t="s">
        <v>2129</v>
      </c>
      <c r="C434" s="18">
        <v>16</v>
      </c>
    </row>
    <row r="435" spans="1:3" ht="12.75" hidden="1">
      <c r="A435" s="18">
        <v>295</v>
      </c>
      <c r="B435" s="18" t="s">
        <v>682</v>
      </c>
      <c r="C435" s="18">
        <v>13</v>
      </c>
    </row>
    <row r="436" spans="1:3" ht="12.75" hidden="1">
      <c r="A436" s="18">
        <v>296</v>
      </c>
      <c r="B436" s="18" t="s">
        <v>2132</v>
      </c>
      <c r="C436" s="18">
        <v>4</v>
      </c>
    </row>
    <row r="437" spans="1:3" ht="12.75" hidden="1">
      <c r="A437" s="18">
        <v>297</v>
      </c>
      <c r="B437" s="18" t="s">
        <v>2135</v>
      </c>
      <c r="C437" s="18">
        <v>15</v>
      </c>
    </row>
    <row r="438" spans="1:3" ht="12.75" hidden="1">
      <c r="A438" s="18">
        <v>298</v>
      </c>
      <c r="B438" s="18" t="s">
        <v>1661</v>
      </c>
      <c r="C438" s="18">
        <v>12</v>
      </c>
    </row>
    <row r="439" spans="1:3" ht="12.75" hidden="1">
      <c r="A439" s="18">
        <v>299</v>
      </c>
      <c r="B439" s="18" t="s">
        <v>1666</v>
      </c>
      <c r="C439" s="18">
        <v>17</v>
      </c>
    </row>
    <row r="440" spans="1:3" ht="12.75" hidden="1">
      <c r="A440" s="18">
        <v>300</v>
      </c>
      <c r="B440" s="18" t="s">
        <v>1199</v>
      </c>
      <c r="C440" s="18">
        <v>8</v>
      </c>
    </row>
    <row r="441" spans="1:3" ht="12.75" hidden="1">
      <c r="A441" s="18">
        <v>301</v>
      </c>
      <c r="B441" s="18" t="s">
        <v>1202</v>
      </c>
      <c r="C441" s="18">
        <v>8</v>
      </c>
    </row>
    <row r="442" spans="1:3" ht="12.75" hidden="1">
      <c r="A442" s="18">
        <v>302</v>
      </c>
      <c r="B442" s="18" t="s">
        <v>2384</v>
      </c>
      <c r="C442" s="18">
        <v>12</v>
      </c>
    </row>
    <row r="443" spans="1:3" ht="12.75" hidden="1">
      <c r="A443" s="18">
        <v>303</v>
      </c>
      <c r="B443" s="18" t="s">
        <v>241</v>
      </c>
      <c r="C443" s="18">
        <v>18</v>
      </c>
    </row>
    <row r="444" spans="1:3" ht="12.75" hidden="1">
      <c r="A444" s="18">
        <v>304</v>
      </c>
      <c r="B444" s="18" t="s">
        <v>244</v>
      </c>
      <c r="C444" s="18">
        <v>19</v>
      </c>
    </row>
    <row r="445" spans="1:3" ht="12.75" hidden="1">
      <c r="A445" s="18">
        <v>306</v>
      </c>
      <c r="B445" s="18" t="s">
        <v>2682</v>
      </c>
      <c r="C445" s="18">
        <v>10</v>
      </c>
    </row>
    <row r="446" spans="1:3" ht="12.75" hidden="1">
      <c r="A446" s="18">
        <v>307</v>
      </c>
      <c r="B446" s="18" t="s">
        <v>2685</v>
      </c>
      <c r="C446" s="18">
        <v>19</v>
      </c>
    </row>
    <row r="447" spans="1:3" ht="12.75" hidden="1">
      <c r="A447" s="18">
        <v>308</v>
      </c>
      <c r="B447" s="18" t="s">
        <v>2688</v>
      </c>
      <c r="C447" s="18">
        <v>12</v>
      </c>
    </row>
    <row r="448" spans="1:3" ht="12.75" hidden="1">
      <c r="A448" s="18">
        <v>309</v>
      </c>
      <c r="B448" s="18" t="s">
        <v>2694</v>
      </c>
      <c r="C448" s="18">
        <v>15</v>
      </c>
    </row>
    <row r="449" spans="1:3" ht="12.75" hidden="1">
      <c r="A449" s="18">
        <v>310</v>
      </c>
      <c r="B449" s="18" t="s">
        <v>1617</v>
      </c>
      <c r="C449" s="18">
        <v>2</v>
      </c>
    </row>
    <row r="450" spans="1:3" ht="12.75" hidden="1">
      <c r="A450" s="18">
        <v>311</v>
      </c>
      <c r="B450" s="18" t="s">
        <v>2413</v>
      </c>
      <c r="C450" s="18">
        <v>14</v>
      </c>
    </row>
    <row r="451" spans="1:3" ht="12.75" hidden="1">
      <c r="A451" s="18">
        <v>312</v>
      </c>
      <c r="B451" s="18" t="s">
        <v>2403</v>
      </c>
      <c r="C451" s="18">
        <v>9</v>
      </c>
    </row>
    <row r="452" spans="1:3" ht="12.75" hidden="1">
      <c r="A452" s="18">
        <v>313</v>
      </c>
      <c r="B452" s="18" t="s">
        <v>2406</v>
      </c>
      <c r="C452" s="18">
        <v>17</v>
      </c>
    </row>
    <row r="453" spans="1:3" ht="12.75" hidden="1">
      <c r="A453" s="18">
        <v>314</v>
      </c>
      <c r="B453" s="18" t="s">
        <v>139</v>
      </c>
      <c r="C453" s="18">
        <v>4</v>
      </c>
    </row>
    <row r="454" spans="1:3" ht="12.75" hidden="1">
      <c r="A454" s="18">
        <v>315</v>
      </c>
      <c r="B454" s="18" t="s">
        <v>2373</v>
      </c>
      <c r="C454" s="18">
        <v>13</v>
      </c>
    </row>
    <row r="455" spans="1:3" ht="12.75" hidden="1">
      <c r="A455" s="18">
        <v>316</v>
      </c>
      <c r="B455" s="18" t="s">
        <v>2376</v>
      </c>
      <c r="C455" s="18">
        <v>13</v>
      </c>
    </row>
    <row r="456" spans="1:3" ht="12.75" hidden="1">
      <c r="A456" s="18">
        <v>317</v>
      </c>
      <c r="B456" s="18" t="s">
        <v>2379</v>
      </c>
      <c r="C456" s="18">
        <v>11</v>
      </c>
    </row>
    <row r="457" spans="1:3" ht="12.75" hidden="1">
      <c r="A457" s="18">
        <v>318</v>
      </c>
      <c r="B457" s="18" t="s">
        <v>2011</v>
      </c>
      <c r="C457" s="18">
        <v>13</v>
      </c>
    </row>
    <row r="458" spans="1:3" ht="12.75" hidden="1">
      <c r="A458" s="18">
        <v>320</v>
      </c>
      <c r="B458" s="18" t="s">
        <v>2014</v>
      </c>
      <c r="C458" s="18">
        <v>18</v>
      </c>
    </row>
    <row r="459" spans="1:3" ht="12.75" hidden="1">
      <c r="A459" s="18">
        <v>321</v>
      </c>
      <c r="B459" s="18" t="s">
        <v>2017</v>
      </c>
      <c r="C459" s="18">
        <v>9</v>
      </c>
    </row>
    <row r="460" spans="1:3" ht="12.75" hidden="1">
      <c r="A460" s="18">
        <v>323</v>
      </c>
      <c r="B460" s="18" t="s">
        <v>2020</v>
      </c>
      <c r="C460" s="18">
        <v>6</v>
      </c>
    </row>
    <row r="461" spans="1:3" ht="12.75" hidden="1">
      <c r="A461" s="18">
        <v>324</v>
      </c>
      <c r="B461" s="18" t="s">
        <v>624</v>
      </c>
      <c r="C461" s="18">
        <v>14</v>
      </c>
    </row>
    <row r="462" spans="1:3" ht="12.75" hidden="1">
      <c r="A462" s="18">
        <v>325</v>
      </c>
      <c r="B462" s="18" t="s">
        <v>184</v>
      </c>
      <c r="C462" s="18">
        <v>5</v>
      </c>
    </row>
    <row r="463" spans="1:3" ht="12.75" hidden="1">
      <c r="A463" s="18">
        <v>326</v>
      </c>
      <c r="B463" s="18" t="s">
        <v>187</v>
      </c>
      <c r="C463" s="18">
        <v>14</v>
      </c>
    </row>
    <row r="464" spans="1:3" ht="12.75" hidden="1">
      <c r="A464" s="18">
        <v>327</v>
      </c>
      <c r="B464" s="18" t="s">
        <v>190</v>
      </c>
      <c r="C464" s="18">
        <v>3</v>
      </c>
    </row>
    <row r="465" spans="1:3" ht="12.75" hidden="1">
      <c r="A465" s="18">
        <v>328</v>
      </c>
      <c r="B465" s="18" t="s">
        <v>193</v>
      </c>
      <c r="C465" s="18">
        <v>2</v>
      </c>
    </row>
    <row r="466" spans="1:3" ht="12.75" hidden="1">
      <c r="A466" s="18">
        <v>329</v>
      </c>
      <c r="B466" s="18" t="s">
        <v>1280</v>
      </c>
      <c r="C466" s="18">
        <v>18</v>
      </c>
    </row>
    <row r="467" spans="1:3" ht="12.75" hidden="1">
      <c r="A467" s="18">
        <v>330</v>
      </c>
      <c r="B467" s="18" t="s">
        <v>1726</v>
      </c>
      <c r="C467" s="18">
        <v>1</v>
      </c>
    </row>
    <row r="468" spans="1:3" ht="12.75" hidden="1">
      <c r="A468" s="18">
        <v>331</v>
      </c>
      <c r="B468" s="18" t="s">
        <v>963</v>
      </c>
      <c r="C468" s="18">
        <v>10</v>
      </c>
    </row>
    <row r="469" spans="1:3" ht="12.75" hidden="1">
      <c r="A469" s="18">
        <v>332</v>
      </c>
      <c r="B469" s="18" t="s">
        <v>966</v>
      </c>
      <c r="C469" s="18">
        <v>4</v>
      </c>
    </row>
    <row r="470" spans="1:3" ht="12.75" hidden="1">
      <c r="A470" s="18">
        <v>333</v>
      </c>
      <c r="B470" s="18" t="s">
        <v>969</v>
      </c>
      <c r="C470" s="18">
        <v>11</v>
      </c>
    </row>
    <row r="471" spans="1:3" ht="12.75" hidden="1">
      <c r="A471" s="18">
        <v>334</v>
      </c>
      <c r="B471" s="18" t="s">
        <v>2213</v>
      </c>
      <c r="C471" s="18">
        <v>19</v>
      </c>
    </row>
    <row r="472" spans="1:3" ht="12.75" hidden="1">
      <c r="A472" s="18">
        <v>335</v>
      </c>
      <c r="B472" s="18" t="s">
        <v>2219</v>
      </c>
      <c r="C472" s="18">
        <v>17</v>
      </c>
    </row>
    <row r="473" spans="1:3" ht="12.75" hidden="1">
      <c r="A473" s="18">
        <v>337</v>
      </c>
      <c r="B473" s="18" t="s">
        <v>2222</v>
      </c>
      <c r="C473" s="18">
        <v>12</v>
      </c>
    </row>
    <row r="474" spans="1:3" ht="12.75" hidden="1">
      <c r="A474" s="18">
        <v>338</v>
      </c>
      <c r="B474" s="18" t="s">
        <v>2225</v>
      </c>
      <c r="C474" s="18">
        <v>17</v>
      </c>
    </row>
    <row r="475" spans="1:3" ht="12.75" hidden="1">
      <c r="A475" s="18">
        <v>339</v>
      </c>
      <c r="B475" s="18" t="s">
        <v>2228</v>
      </c>
      <c r="C475" s="18">
        <v>14</v>
      </c>
    </row>
    <row r="476" spans="1:3" ht="12.75" hidden="1">
      <c r="A476" s="18">
        <v>340</v>
      </c>
      <c r="B476" s="18" t="s">
        <v>2231</v>
      </c>
      <c r="C476" s="18">
        <v>17</v>
      </c>
    </row>
    <row r="477" spans="1:3" ht="12.75" hidden="1">
      <c r="A477" s="18">
        <v>341</v>
      </c>
      <c r="B477" s="18" t="s">
        <v>2240</v>
      </c>
      <c r="C477" s="18">
        <v>20</v>
      </c>
    </row>
    <row r="478" spans="1:3" ht="12.75" hidden="1">
      <c r="A478" s="18">
        <v>342</v>
      </c>
      <c r="B478" s="18" t="s">
        <v>2243</v>
      </c>
      <c r="C478" s="18">
        <v>19</v>
      </c>
    </row>
    <row r="479" spans="1:3" ht="12.75" hidden="1">
      <c r="A479" s="18">
        <v>343</v>
      </c>
      <c r="B479" s="18" t="s">
        <v>2246</v>
      </c>
      <c r="C479" s="18">
        <v>13</v>
      </c>
    </row>
    <row r="480" spans="1:3" ht="12.75" hidden="1">
      <c r="A480" s="18">
        <v>344</v>
      </c>
      <c r="B480" s="18" t="s">
        <v>2252</v>
      </c>
      <c r="C480" s="18">
        <v>13</v>
      </c>
    </row>
    <row r="481" spans="1:3" ht="12.75" hidden="1">
      <c r="A481" s="18">
        <v>345</v>
      </c>
      <c r="B481" s="18" t="s">
        <v>2630</v>
      </c>
      <c r="C481" s="18">
        <v>14</v>
      </c>
    </row>
    <row r="482" spans="1:3" ht="12.75" hidden="1">
      <c r="A482" s="18">
        <v>346</v>
      </c>
      <c r="B482" s="18" t="s">
        <v>2633</v>
      </c>
      <c r="C482" s="18">
        <v>3</v>
      </c>
    </row>
    <row r="483" spans="1:3" ht="12.75" hidden="1">
      <c r="A483" s="18">
        <v>347</v>
      </c>
      <c r="B483" s="18" t="s">
        <v>2636</v>
      </c>
      <c r="C483" s="18">
        <v>18</v>
      </c>
    </row>
    <row r="484" spans="1:3" ht="12.75" hidden="1">
      <c r="A484" s="18">
        <v>348</v>
      </c>
      <c r="B484" s="18" t="s">
        <v>2639</v>
      </c>
      <c r="C484" s="18">
        <v>13</v>
      </c>
    </row>
    <row r="485" spans="1:3" ht="12.75" hidden="1">
      <c r="A485" s="18">
        <v>349</v>
      </c>
      <c r="B485" s="18" t="s">
        <v>2642</v>
      </c>
      <c r="C485" s="18">
        <v>17</v>
      </c>
    </row>
    <row r="486" spans="1:3" ht="12.75" hidden="1">
      <c r="A486" s="18">
        <v>350</v>
      </c>
      <c r="B486" s="18" t="s">
        <v>2645</v>
      </c>
      <c r="C486" s="18">
        <v>11</v>
      </c>
    </row>
    <row r="487" spans="1:3" ht="12.75" hidden="1">
      <c r="A487" s="18">
        <v>351</v>
      </c>
      <c r="B487" s="18" t="s">
        <v>2651</v>
      </c>
      <c r="C487" s="18">
        <v>2</v>
      </c>
    </row>
    <row r="488" spans="1:3" ht="12.75" hidden="1">
      <c r="A488" s="18">
        <v>352</v>
      </c>
      <c r="B488" s="18" t="s">
        <v>509</v>
      </c>
      <c r="C488" s="18">
        <v>13</v>
      </c>
    </row>
    <row r="489" spans="1:3" ht="12.75" hidden="1">
      <c r="A489" s="18">
        <v>354</v>
      </c>
      <c r="B489" s="18" t="s">
        <v>512</v>
      </c>
      <c r="C489" s="18">
        <v>20</v>
      </c>
    </row>
    <row r="490" spans="1:3" ht="12.75" hidden="1">
      <c r="A490" s="18">
        <v>355</v>
      </c>
      <c r="B490" s="18" t="s">
        <v>515</v>
      </c>
      <c r="C490" s="18">
        <v>1</v>
      </c>
    </row>
    <row r="491" spans="1:3" ht="12.75" hidden="1">
      <c r="A491" s="18">
        <v>356</v>
      </c>
      <c r="B491" s="18" t="s">
        <v>1206</v>
      </c>
      <c r="C491" s="18">
        <v>15</v>
      </c>
    </row>
    <row r="492" spans="1:3" ht="12.75" hidden="1">
      <c r="A492" s="18">
        <v>357</v>
      </c>
      <c r="B492" s="18" t="s">
        <v>120</v>
      </c>
      <c r="C492" s="18">
        <v>17</v>
      </c>
    </row>
    <row r="493" spans="1:3" ht="12.75" hidden="1">
      <c r="A493" s="18">
        <v>358</v>
      </c>
      <c r="B493" s="18" t="s">
        <v>854</v>
      </c>
      <c r="C493" s="18">
        <v>18</v>
      </c>
    </row>
    <row r="494" spans="1:3" ht="12.75" hidden="1">
      <c r="A494" s="18">
        <v>359</v>
      </c>
      <c r="B494" s="18" t="s">
        <v>857</v>
      </c>
      <c r="C494" s="18">
        <v>8</v>
      </c>
    </row>
    <row r="495" spans="1:3" ht="12.75" hidden="1">
      <c r="A495" s="18">
        <v>360</v>
      </c>
      <c r="B495" s="18" t="s">
        <v>1727</v>
      </c>
      <c r="C495" s="18">
        <v>14</v>
      </c>
    </row>
    <row r="496" spans="1:3" ht="12.75" hidden="1">
      <c r="A496" s="18">
        <v>361</v>
      </c>
      <c r="B496" s="18" t="s">
        <v>1372</v>
      </c>
      <c r="C496" s="18">
        <v>1</v>
      </c>
    </row>
    <row r="497" spans="1:3" ht="12.75" hidden="1">
      <c r="A497" s="18">
        <v>362</v>
      </c>
      <c r="B497" s="18" t="s">
        <v>1375</v>
      </c>
      <c r="C497" s="18">
        <v>8</v>
      </c>
    </row>
    <row r="498" spans="1:3" ht="12.75" hidden="1">
      <c r="A498" s="18">
        <v>363</v>
      </c>
      <c r="B498" s="18" t="s">
        <v>1378</v>
      </c>
      <c r="C498" s="18">
        <v>2</v>
      </c>
    </row>
    <row r="499" spans="1:3" ht="12.75" hidden="1">
      <c r="A499" s="18">
        <v>364</v>
      </c>
      <c r="B499" s="18" t="s">
        <v>1381</v>
      </c>
      <c r="C499" s="18">
        <v>4</v>
      </c>
    </row>
    <row r="500" spans="1:3" ht="12.75" hidden="1">
      <c r="A500" s="18">
        <v>365</v>
      </c>
      <c r="B500" s="18" t="s">
        <v>1387</v>
      </c>
      <c r="C500" s="18">
        <v>6</v>
      </c>
    </row>
    <row r="501" spans="1:3" ht="12.75" hidden="1">
      <c r="A501" s="18">
        <v>366</v>
      </c>
      <c r="B501" s="18" t="s">
        <v>1390</v>
      </c>
      <c r="C501" s="18">
        <v>18</v>
      </c>
    </row>
    <row r="502" spans="1:3" ht="12.75" hidden="1">
      <c r="A502" s="18">
        <v>368</v>
      </c>
      <c r="B502" s="18" t="s">
        <v>1393</v>
      </c>
      <c r="C502" s="18">
        <v>8</v>
      </c>
    </row>
    <row r="503" spans="1:3" ht="12.75" hidden="1">
      <c r="A503" s="18">
        <v>369</v>
      </c>
      <c r="B503" s="18" t="s">
        <v>124</v>
      </c>
      <c r="C503" s="18">
        <v>13</v>
      </c>
    </row>
    <row r="504" spans="1:3" ht="12.75" hidden="1">
      <c r="A504" s="18">
        <v>371</v>
      </c>
      <c r="B504" s="18" t="s">
        <v>673</v>
      </c>
      <c r="C504" s="18">
        <v>12</v>
      </c>
    </row>
    <row r="505" spans="1:3" ht="12.75" hidden="1">
      <c r="A505" s="18">
        <v>372</v>
      </c>
      <c r="B505" s="18" t="s">
        <v>1212</v>
      </c>
      <c r="C505" s="18">
        <v>8</v>
      </c>
    </row>
    <row r="506" spans="1:3" ht="12.75" hidden="1">
      <c r="A506" s="18">
        <v>373</v>
      </c>
      <c r="B506" s="18" t="s">
        <v>1218</v>
      </c>
      <c r="C506" s="18">
        <v>18</v>
      </c>
    </row>
    <row r="507" spans="1:3" ht="12.75" hidden="1">
      <c r="A507" s="18">
        <v>374</v>
      </c>
      <c r="B507" s="18" t="s">
        <v>1224</v>
      </c>
      <c r="C507" s="18">
        <v>7</v>
      </c>
    </row>
    <row r="508" spans="1:3" ht="12.75" hidden="1">
      <c r="A508" s="18">
        <v>375</v>
      </c>
      <c r="B508" s="18" t="s">
        <v>1227</v>
      </c>
      <c r="C508" s="18">
        <v>1</v>
      </c>
    </row>
    <row r="509" spans="1:3" ht="12.75" hidden="1">
      <c r="A509" s="18">
        <v>376</v>
      </c>
      <c r="B509" s="18" t="s">
        <v>1230</v>
      </c>
      <c r="C509" s="18">
        <v>15</v>
      </c>
    </row>
    <row r="510" spans="1:3" ht="12.75" hidden="1">
      <c r="A510" s="18">
        <v>377</v>
      </c>
      <c r="B510" s="18" t="s">
        <v>1619</v>
      </c>
      <c r="C510" s="18">
        <v>4</v>
      </c>
    </row>
    <row r="511" spans="1:3" ht="12.75" hidden="1">
      <c r="A511" s="18">
        <v>378</v>
      </c>
      <c r="B511" s="18" t="s">
        <v>1622</v>
      </c>
      <c r="C511" s="18">
        <v>13</v>
      </c>
    </row>
    <row r="512" spans="1:3" ht="12.75" hidden="1">
      <c r="A512" s="18">
        <v>379</v>
      </c>
      <c r="B512" s="18" t="s">
        <v>1625</v>
      </c>
      <c r="C512" s="18">
        <v>1</v>
      </c>
    </row>
    <row r="513" spans="1:3" ht="12.75" hidden="1">
      <c r="A513" s="18">
        <v>380</v>
      </c>
      <c r="B513" s="18" t="s">
        <v>1628</v>
      </c>
      <c r="C513" s="18">
        <v>14</v>
      </c>
    </row>
    <row r="514" spans="1:3" ht="12.75" hidden="1">
      <c r="A514" s="18">
        <v>381</v>
      </c>
      <c r="B514" s="18" t="s">
        <v>1631</v>
      </c>
      <c r="C514" s="18">
        <v>17</v>
      </c>
    </row>
    <row r="515" spans="1:3" ht="12.75" hidden="1">
      <c r="A515" s="18">
        <v>382</v>
      </c>
      <c r="B515" s="18" t="s">
        <v>1634</v>
      </c>
      <c r="C515" s="18">
        <v>17</v>
      </c>
    </row>
    <row r="516" spans="1:3" ht="12.75" hidden="1">
      <c r="A516" s="18">
        <v>383</v>
      </c>
      <c r="B516" s="18" t="s">
        <v>156</v>
      </c>
      <c r="C516" s="18">
        <v>20</v>
      </c>
    </row>
    <row r="517" spans="1:3" ht="12.75" hidden="1">
      <c r="A517" s="18">
        <v>385</v>
      </c>
      <c r="B517" s="18" t="s">
        <v>1494</v>
      </c>
      <c r="C517" s="18">
        <v>14</v>
      </c>
    </row>
    <row r="518" spans="1:3" ht="12.75" hidden="1">
      <c r="A518" s="18">
        <v>386</v>
      </c>
      <c r="B518" s="18" t="s">
        <v>1497</v>
      </c>
      <c r="C518" s="18">
        <v>9</v>
      </c>
    </row>
    <row r="519" spans="1:3" ht="12.75" hidden="1">
      <c r="A519" s="18">
        <v>387</v>
      </c>
      <c r="B519" s="18" t="s">
        <v>1500</v>
      </c>
      <c r="C519" s="18">
        <v>12</v>
      </c>
    </row>
    <row r="520" spans="1:3" ht="12.75" hidden="1">
      <c r="A520" s="18">
        <v>388</v>
      </c>
      <c r="B520" s="18" t="s">
        <v>1533</v>
      </c>
      <c r="C520" s="18">
        <v>17</v>
      </c>
    </row>
    <row r="521" spans="1:3" ht="12.75" hidden="1">
      <c r="A521" s="18">
        <v>389</v>
      </c>
      <c r="B521" s="18" t="s">
        <v>1539</v>
      </c>
      <c r="C521" s="18">
        <v>7</v>
      </c>
    </row>
    <row r="522" spans="1:3" ht="12.75" hidden="1">
      <c r="A522" s="18">
        <v>390</v>
      </c>
      <c r="B522" s="18" t="s">
        <v>1542</v>
      </c>
      <c r="C522" s="18">
        <v>3</v>
      </c>
    </row>
    <row r="523" spans="1:3" ht="12.75" hidden="1">
      <c r="A523" s="18">
        <v>391</v>
      </c>
      <c r="B523" s="18" t="s">
        <v>1545</v>
      </c>
      <c r="C523" s="18">
        <v>8</v>
      </c>
    </row>
    <row r="524" spans="1:3" ht="12.75" hidden="1">
      <c r="A524" s="18">
        <v>393</v>
      </c>
      <c r="B524" s="18" t="s">
        <v>1548</v>
      </c>
      <c r="C524" s="18">
        <v>15</v>
      </c>
    </row>
    <row r="525" spans="1:3" ht="12.75" hidden="1">
      <c r="A525" s="18">
        <v>394</v>
      </c>
      <c r="B525" s="18" t="s">
        <v>1551</v>
      </c>
      <c r="C525" s="18">
        <v>10</v>
      </c>
    </row>
    <row r="526" spans="1:3" ht="12.75" hidden="1">
      <c r="A526" s="18">
        <v>395</v>
      </c>
      <c r="B526" s="18" t="s">
        <v>1554</v>
      </c>
      <c r="C526" s="18">
        <v>12</v>
      </c>
    </row>
    <row r="527" spans="1:3" ht="12.75" hidden="1">
      <c r="A527" s="18">
        <v>396</v>
      </c>
      <c r="B527" s="18" t="s">
        <v>2444</v>
      </c>
      <c r="C527" s="18">
        <v>12</v>
      </c>
    </row>
    <row r="528" spans="1:3" ht="12.75" hidden="1">
      <c r="A528" s="18">
        <v>397</v>
      </c>
      <c r="B528" s="18" t="s">
        <v>2447</v>
      </c>
      <c r="C528" s="18">
        <v>19</v>
      </c>
    </row>
    <row r="529" spans="1:3" ht="12.75" hidden="1">
      <c r="A529" s="18">
        <v>399</v>
      </c>
      <c r="B529" s="18" t="s">
        <v>2450</v>
      </c>
      <c r="C529" s="18">
        <v>4</v>
      </c>
    </row>
    <row r="530" spans="1:3" ht="12.75" hidden="1">
      <c r="A530" s="18">
        <v>400</v>
      </c>
      <c r="B530" s="18" t="s">
        <v>2453</v>
      </c>
      <c r="C530" s="18">
        <v>19</v>
      </c>
    </row>
    <row r="531" spans="1:3" ht="12.75" hidden="1">
      <c r="A531" s="18">
        <v>402</v>
      </c>
      <c r="B531" s="18" t="s">
        <v>1102</v>
      </c>
      <c r="C531" s="18">
        <v>6</v>
      </c>
    </row>
    <row r="532" spans="1:3" ht="12.75" hidden="1">
      <c r="A532" s="18">
        <v>405</v>
      </c>
      <c r="B532" s="18" t="s">
        <v>1312</v>
      </c>
      <c r="C532" s="18">
        <v>17</v>
      </c>
    </row>
    <row r="533" spans="1:3" ht="12.75" hidden="1">
      <c r="A533" s="18">
        <v>406</v>
      </c>
      <c r="B533" s="18" t="s">
        <v>1315</v>
      </c>
      <c r="C533" s="18">
        <v>10</v>
      </c>
    </row>
    <row r="534" spans="1:3" ht="12.75" hidden="1">
      <c r="A534" s="18">
        <v>407</v>
      </c>
      <c r="B534" s="18" t="s">
        <v>1318</v>
      </c>
      <c r="C534" s="18">
        <v>17</v>
      </c>
    </row>
    <row r="535" spans="1:3" ht="12.75" hidden="1">
      <c r="A535" s="18">
        <v>409</v>
      </c>
      <c r="B535" s="18" t="s">
        <v>1321</v>
      </c>
      <c r="C535" s="18">
        <v>5</v>
      </c>
    </row>
    <row r="536" spans="1:3" ht="12.75" hidden="1">
      <c r="A536" s="18">
        <v>410</v>
      </c>
      <c r="B536" s="18" t="s">
        <v>1324</v>
      </c>
      <c r="C536" s="18">
        <v>13</v>
      </c>
    </row>
    <row r="537" spans="1:3" ht="12.75" hidden="1">
      <c r="A537" s="18">
        <v>411</v>
      </c>
      <c r="B537" s="18" t="s">
        <v>1327</v>
      </c>
      <c r="C537" s="18">
        <v>12</v>
      </c>
    </row>
    <row r="538" spans="1:3" ht="12.75" hidden="1">
      <c r="A538" s="18">
        <v>412</v>
      </c>
      <c r="B538" s="18" t="s">
        <v>1330</v>
      </c>
      <c r="C538" s="18">
        <v>17</v>
      </c>
    </row>
    <row r="539" spans="1:3" ht="12.75" hidden="1">
      <c r="A539" s="18">
        <v>413</v>
      </c>
      <c r="B539" s="18" t="s">
        <v>1333</v>
      </c>
      <c r="C539" s="18">
        <v>16</v>
      </c>
    </row>
    <row r="540" spans="1:3" ht="12.75" hidden="1">
      <c r="A540" s="18">
        <v>414</v>
      </c>
      <c r="B540" s="18" t="s">
        <v>1336</v>
      </c>
      <c r="C540" s="18">
        <v>16</v>
      </c>
    </row>
    <row r="541" spans="1:3" ht="12.75" hidden="1">
      <c r="A541" s="18">
        <v>415</v>
      </c>
      <c r="B541" s="18" t="s">
        <v>1339</v>
      </c>
      <c r="C541" s="18">
        <v>13</v>
      </c>
    </row>
    <row r="542" spans="1:3" ht="12.75" hidden="1">
      <c r="A542" s="18">
        <v>416</v>
      </c>
      <c r="B542" s="18" t="s">
        <v>910</v>
      </c>
      <c r="C542" s="18">
        <v>12</v>
      </c>
    </row>
    <row r="543" spans="1:3" ht="12.75" hidden="1">
      <c r="A543" s="18">
        <v>418</v>
      </c>
      <c r="B543" s="18" t="s">
        <v>913</v>
      </c>
      <c r="C543" s="18">
        <v>19</v>
      </c>
    </row>
    <row r="544" spans="1:3" ht="12.75" hidden="1">
      <c r="A544" s="18">
        <v>419</v>
      </c>
      <c r="B544" s="18" t="s">
        <v>916</v>
      </c>
      <c r="C544" s="18">
        <v>14</v>
      </c>
    </row>
    <row r="545" spans="1:3" ht="12.75" hidden="1">
      <c r="A545" s="18">
        <v>421</v>
      </c>
      <c r="B545" s="18" t="s">
        <v>1283</v>
      </c>
      <c r="C545" s="18">
        <v>2</v>
      </c>
    </row>
    <row r="546" spans="1:3" ht="12.75" hidden="1">
      <c r="A546" s="18">
        <v>422</v>
      </c>
      <c r="B546" s="18" t="s">
        <v>1286</v>
      </c>
      <c r="C546" s="18">
        <v>17</v>
      </c>
    </row>
    <row r="547" spans="1:3" ht="12.75" hidden="1">
      <c r="A547" s="18">
        <v>423</v>
      </c>
      <c r="B547" s="18" t="s">
        <v>1292</v>
      </c>
      <c r="C547" s="18">
        <v>10</v>
      </c>
    </row>
    <row r="548" spans="1:3" ht="12.75" hidden="1">
      <c r="A548" s="18">
        <v>424</v>
      </c>
      <c r="B548" s="18" t="s">
        <v>1295</v>
      </c>
      <c r="C548" s="18">
        <v>13</v>
      </c>
    </row>
    <row r="549" spans="1:3" ht="12.75" hidden="1">
      <c r="A549" s="18">
        <v>425</v>
      </c>
      <c r="B549" s="18" t="s">
        <v>1298</v>
      </c>
      <c r="C549" s="18">
        <v>3</v>
      </c>
    </row>
    <row r="550" spans="1:3" ht="12.75" hidden="1">
      <c r="A550" s="18">
        <v>426</v>
      </c>
      <c r="B550" s="18" t="s">
        <v>1301</v>
      </c>
      <c r="C550" s="18">
        <v>17</v>
      </c>
    </row>
    <row r="551" spans="1:3" ht="12.75" hidden="1">
      <c r="A551" s="18">
        <v>427</v>
      </c>
      <c r="B551" s="18" t="s">
        <v>1304</v>
      </c>
      <c r="C551" s="18">
        <v>13</v>
      </c>
    </row>
    <row r="552" spans="1:3" ht="12.75" hidden="1">
      <c r="A552" s="18">
        <v>428</v>
      </c>
      <c r="B552" s="18" t="s">
        <v>1180</v>
      </c>
      <c r="C552" s="18">
        <v>1</v>
      </c>
    </row>
    <row r="553" spans="1:3" ht="12.75" hidden="1">
      <c r="A553" s="18">
        <v>429</v>
      </c>
      <c r="B553" s="18" t="s">
        <v>1186</v>
      </c>
      <c r="C553" s="18">
        <v>2</v>
      </c>
    </row>
    <row r="554" spans="1:3" ht="12.75" hidden="1">
      <c r="A554" s="18">
        <v>430</v>
      </c>
      <c r="B554" s="18" t="s">
        <v>2198</v>
      </c>
      <c r="C554" s="18">
        <v>18</v>
      </c>
    </row>
    <row r="555" spans="1:3" ht="12.75" hidden="1">
      <c r="A555" s="18">
        <v>431</v>
      </c>
      <c r="B555" s="18" t="s">
        <v>2201</v>
      </c>
      <c r="C555" s="18">
        <v>18</v>
      </c>
    </row>
    <row r="556" spans="1:3" ht="12.75" hidden="1">
      <c r="A556" s="18">
        <v>432</v>
      </c>
      <c r="B556" s="18" t="s">
        <v>1119</v>
      </c>
      <c r="C556" s="18">
        <v>18</v>
      </c>
    </row>
    <row r="557" spans="1:3" ht="12.75" hidden="1">
      <c r="A557" s="18">
        <v>433</v>
      </c>
      <c r="B557" s="18" t="s">
        <v>2204</v>
      </c>
      <c r="C557" s="18">
        <v>18</v>
      </c>
    </row>
    <row r="558" spans="1:3" ht="12.75" hidden="1">
      <c r="A558" s="18">
        <v>435</v>
      </c>
      <c r="B558" s="18" t="s">
        <v>2206</v>
      </c>
      <c r="C558" s="18">
        <v>1</v>
      </c>
    </row>
    <row r="559" spans="1:3" ht="12.75" hidden="1">
      <c r="A559" s="18">
        <v>436</v>
      </c>
      <c r="B559" s="18" t="s">
        <v>1118</v>
      </c>
      <c r="C559" s="18">
        <v>5</v>
      </c>
    </row>
    <row r="560" spans="1:3" ht="12.75" hidden="1">
      <c r="A560" s="18">
        <v>437</v>
      </c>
      <c r="B560" s="18" t="s">
        <v>1177</v>
      </c>
      <c r="C560" s="18">
        <v>5</v>
      </c>
    </row>
    <row r="561" spans="1:3" ht="12.75" hidden="1">
      <c r="A561" s="18">
        <v>438</v>
      </c>
      <c r="B561" s="18" t="s">
        <v>1183</v>
      </c>
      <c r="C561" s="18">
        <v>6</v>
      </c>
    </row>
    <row r="562" spans="1:3" ht="12.75" hidden="1">
      <c r="A562" s="18">
        <v>439</v>
      </c>
      <c r="B562" s="18" t="s">
        <v>2388</v>
      </c>
      <c r="C562" s="18">
        <v>20</v>
      </c>
    </row>
    <row r="563" spans="1:3" ht="12.75" hidden="1">
      <c r="A563" s="18">
        <v>440</v>
      </c>
      <c r="B563" s="18" t="s">
        <v>2391</v>
      </c>
      <c r="C563" s="18">
        <v>20</v>
      </c>
    </row>
    <row r="564" spans="1:3" ht="12.75" hidden="1">
      <c r="A564" s="18">
        <v>441</v>
      </c>
      <c r="B564" s="18" t="s">
        <v>1090</v>
      </c>
      <c r="C564" s="18">
        <v>6</v>
      </c>
    </row>
    <row r="565" spans="1:3" ht="12.75" hidden="1">
      <c r="A565" s="18">
        <v>442</v>
      </c>
      <c r="B565" s="18" t="s">
        <v>1093</v>
      </c>
      <c r="C565" s="18">
        <v>17</v>
      </c>
    </row>
    <row r="566" spans="1:3" ht="12.75" hidden="1">
      <c r="A566" s="18">
        <v>443</v>
      </c>
      <c r="B566" s="18" t="s">
        <v>2749</v>
      </c>
      <c r="C566" s="18">
        <v>15</v>
      </c>
    </row>
    <row r="567" spans="1:3" ht="12.75" hidden="1">
      <c r="A567" s="18">
        <v>444</v>
      </c>
      <c r="B567" s="18" t="s">
        <v>2752</v>
      </c>
      <c r="C567" s="18">
        <v>13</v>
      </c>
    </row>
    <row r="568" spans="1:3" ht="12.75" hidden="1">
      <c r="A568" s="18">
        <v>445</v>
      </c>
      <c r="B568" s="18" t="s">
        <v>1114</v>
      </c>
      <c r="C568" s="18">
        <v>17</v>
      </c>
    </row>
    <row r="569" spans="1:3" ht="12.75" hidden="1">
      <c r="A569" s="18">
        <v>447</v>
      </c>
      <c r="B569" s="18" t="s">
        <v>2528</v>
      </c>
      <c r="C569" s="18">
        <v>10</v>
      </c>
    </row>
    <row r="570" spans="1:3" ht="12.75" hidden="1">
      <c r="A570" s="18">
        <v>449</v>
      </c>
      <c r="B570" s="18" t="s">
        <v>2531</v>
      </c>
      <c r="C570" s="18">
        <v>7</v>
      </c>
    </row>
    <row r="571" spans="1:3" ht="12.75" hidden="1">
      <c r="A571" s="18">
        <v>450</v>
      </c>
      <c r="B571" s="18" t="s">
        <v>2534</v>
      </c>
      <c r="C571" s="18">
        <v>20</v>
      </c>
    </row>
    <row r="572" spans="1:3" ht="12.75" hidden="1">
      <c r="A572" s="18">
        <v>452</v>
      </c>
      <c r="B572" s="18" t="s">
        <v>1883</v>
      </c>
      <c r="C572" s="18">
        <v>18</v>
      </c>
    </row>
    <row r="573" spans="1:3" ht="12.75" hidden="1">
      <c r="A573" s="18">
        <v>453</v>
      </c>
      <c r="B573" s="18" t="s">
        <v>239</v>
      </c>
      <c r="C573" s="18">
        <v>15</v>
      </c>
    </row>
    <row r="574" spans="1:3" ht="12.75" hidden="1">
      <c r="A574" s="18">
        <v>454</v>
      </c>
      <c r="B574" s="18" t="s">
        <v>2309</v>
      </c>
      <c r="C574" s="18">
        <v>9</v>
      </c>
    </row>
    <row r="575" spans="1:3" ht="12.75" hidden="1">
      <c r="A575" s="18">
        <v>455</v>
      </c>
      <c r="B575" s="18" t="s">
        <v>2216</v>
      </c>
      <c r="C575" s="18">
        <v>16</v>
      </c>
    </row>
    <row r="576" spans="1:3" ht="12.75" hidden="1">
      <c r="A576" s="18">
        <v>456</v>
      </c>
      <c r="B576" s="18" t="s">
        <v>683</v>
      </c>
      <c r="C576" s="18">
        <v>3</v>
      </c>
    </row>
    <row r="577" spans="1:3" ht="12.75" hidden="1">
      <c r="A577" s="18">
        <v>457</v>
      </c>
      <c r="B577" s="18" t="s">
        <v>686</v>
      </c>
      <c r="C577" s="18">
        <v>16</v>
      </c>
    </row>
    <row r="578" spans="1:3" ht="12.75" hidden="1">
      <c r="A578" s="18">
        <v>458</v>
      </c>
      <c r="B578" s="18" t="s">
        <v>689</v>
      </c>
      <c r="C578" s="18">
        <v>16</v>
      </c>
    </row>
    <row r="579" spans="1:3" ht="12.75" hidden="1">
      <c r="A579" s="18">
        <v>459</v>
      </c>
      <c r="B579" s="18" t="s">
        <v>695</v>
      </c>
      <c r="C579" s="18">
        <v>17</v>
      </c>
    </row>
    <row r="580" spans="1:3" ht="12.75" hidden="1">
      <c r="A580" s="18">
        <v>460</v>
      </c>
      <c r="B580" s="18" t="s">
        <v>701</v>
      </c>
      <c r="C580" s="18">
        <v>14</v>
      </c>
    </row>
    <row r="581" spans="1:3" ht="12.75" hidden="1">
      <c r="A581" s="18">
        <v>461</v>
      </c>
      <c r="B581" s="18" t="s">
        <v>832</v>
      </c>
      <c r="C581" s="18">
        <v>5</v>
      </c>
    </row>
    <row r="582" spans="1:3" ht="12.75" hidden="1">
      <c r="A582" s="18">
        <v>462</v>
      </c>
      <c r="B582" s="18" t="s">
        <v>1146</v>
      </c>
      <c r="C582" s="18">
        <v>17</v>
      </c>
    </row>
    <row r="583" spans="1:3" ht="12.75" hidden="1">
      <c r="A583" s="18">
        <v>463</v>
      </c>
      <c r="B583" s="18" t="s">
        <v>1150</v>
      </c>
      <c r="C583" s="18">
        <v>16</v>
      </c>
    </row>
    <row r="584" spans="1:3" ht="12.75" hidden="1">
      <c r="A584" s="18">
        <v>464</v>
      </c>
      <c r="B584" s="18" t="s">
        <v>2118</v>
      </c>
      <c r="C584" s="18">
        <v>2</v>
      </c>
    </row>
    <row r="585" spans="1:3" ht="12.75" hidden="1">
      <c r="A585" s="18">
        <v>466</v>
      </c>
      <c r="B585" s="18" t="s">
        <v>2124</v>
      </c>
      <c r="C585" s="18">
        <v>9</v>
      </c>
    </row>
    <row r="586" spans="1:3" ht="12.75" hidden="1">
      <c r="A586" s="18">
        <v>467</v>
      </c>
      <c r="B586" s="18" t="s">
        <v>2127</v>
      </c>
      <c r="C586" s="18">
        <v>18</v>
      </c>
    </row>
    <row r="587" spans="1:3" ht="12.75" hidden="1">
      <c r="A587" s="18">
        <v>468</v>
      </c>
      <c r="B587" s="18" t="s">
        <v>2130</v>
      </c>
      <c r="C587" s="18">
        <v>15</v>
      </c>
    </row>
    <row r="588" spans="1:3" ht="12.75" hidden="1">
      <c r="A588" s="18">
        <v>469</v>
      </c>
      <c r="B588" s="18" t="s">
        <v>2133</v>
      </c>
      <c r="C588" s="18">
        <v>14</v>
      </c>
    </row>
    <row r="589" spans="1:3" ht="12.75" hidden="1">
      <c r="A589" s="18">
        <v>471</v>
      </c>
      <c r="B589" s="18" t="s">
        <v>1096</v>
      </c>
      <c r="C589" s="18">
        <v>5</v>
      </c>
    </row>
    <row r="590" spans="1:3" ht="12.75" hidden="1">
      <c r="A590" s="18">
        <v>472</v>
      </c>
      <c r="B590" s="18" t="s">
        <v>1099</v>
      </c>
      <c r="C590" s="18">
        <v>5</v>
      </c>
    </row>
    <row r="591" spans="1:3" ht="12.75" hidden="1">
      <c r="A591" s="18">
        <v>473</v>
      </c>
      <c r="B591" s="18" t="s">
        <v>1197</v>
      </c>
      <c r="C591" s="18">
        <v>19</v>
      </c>
    </row>
    <row r="592" spans="1:3" ht="12.75" hidden="1">
      <c r="A592" s="18">
        <v>474</v>
      </c>
      <c r="B592" s="18" t="s">
        <v>1200</v>
      </c>
      <c r="C592" s="18">
        <v>11</v>
      </c>
    </row>
    <row r="593" spans="1:3" ht="12.75" hidden="1">
      <c r="A593" s="18">
        <v>475</v>
      </c>
      <c r="B593" s="18" t="s">
        <v>2382</v>
      </c>
      <c r="C593" s="18">
        <v>12</v>
      </c>
    </row>
    <row r="594" spans="1:3" ht="12.75" hidden="1">
      <c r="A594" s="18">
        <v>476</v>
      </c>
      <c r="B594" s="18" t="s">
        <v>242</v>
      </c>
      <c r="C594" s="18">
        <v>3</v>
      </c>
    </row>
    <row r="595" spans="1:3" ht="12.75" hidden="1">
      <c r="A595" s="18">
        <v>477</v>
      </c>
      <c r="B595" s="18" t="s">
        <v>245</v>
      </c>
      <c r="C595" s="18">
        <v>7</v>
      </c>
    </row>
    <row r="596" spans="1:3" ht="12.75" hidden="1">
      <c r="A596" s="18">
        <v>478</v>
      </c>
      <c r="B596" s="18" t="s">
        <v>2683</v>
      </c>
      <c r="C596" s="18">
        <v>7</v>
      </c>
    </row>
    <row r="597" spans="1:3" ht="12.75" hidden="1">
      <c r="A597" s="18">
        <v>480</v>
      </c>
      <c r="B597" s="18" t="s">
        <v>2692</v>
      </c>
      <c r="C597" s="18">
        <v>2</v>
      </c>
    </row>
    <row r="598" spans="1:3" ht="12.75" hidden="1">
      <c r="A598" s="18">
        <v>481</v>
      </c>
      <c r="B598" s="18" t="s">
        <v>2695</v>
      </c>
      <c r="C598" s="18">
        <v>7</v>
      </c>
    </row>
    <row r="599" spans="1:3" ht="12.75" hidden="1">
      <c r="A599" s="18">
        <v>483</v>
      </c>
      <c r="B599" s="18" t="s">
        <v>2411</v>
      </c>
      <c r="C599" s="18">
        <v>5</v>
      </c>
    </row>
    <row r="600" spans="1:3" ht="12.75" hidden="1">
      <c r="A600" s="18">
        <v>484</v>
      </c>
      <c r="B600" s="18" t="s">
        <v>2401</v>
      </c>
      <c r="C600" s="18">
        <v>14</v>
      </c>
    </row>
    <row r="601" spans="1:3" ht="12.75" hidden="1">
      <c r="A601" s="18">
        <v>485</v>
      </c>
      <c r="B601" s="18" t="s">
        <v>2404</v>
      </c>
      <c r="C601" s="18">
        <v>5</v>
      </c>
    </row>
    <row r="602" spans="1:3" ht="12.75" hidden="1">
      <c r="A602" s="18">
        <v>486</v>
      </c>
      <c r="B602" s="18" t="s">
        <v>2407</v>
      </c>
      <c r="C602" s="18">
        <v>16</v>
      </c>
    </row>
    <row r="603" spans="1:3" ht="12.75" hidden="1">
      <c r="A603" s="18">
        <v>487</v>
      </c>
      <c r="B603" s="18" t="s">
        <v>140</v>
      </c>
      <c r="C603" s="18">
        <v>8</v>
      </c>
    </row>
    <row r="604" spans="1:3" ht="12.75" hidden="1">
      <c r="A604" s="18">
        <v>488</v>
      </c>
      <c r="B604" s="18" t="s">
        <v>2371</v>
      </c>
      <c r="C604" s="18">
        <v>13</v>
      </c>
    </row>
    <row r="605" spans="1:3" ht="12.75" hidden="1">
      <c r="A605" s="18">
        <v>489</v>
      </c>
      <c r="B605" s="18" t="s">
        <v>2374</v>
      </c>
      <c r="C605" s="18">
        <v>6</v>
      </c>
    </row>
    <row r="606" spans="1:3" ht="12.75" hidden="1">
      <c r="A606" s="18">
        <v>490</v>
      </c>
      <c r="B606" s="18" t="s">
        <v>2377</v>
      </c>
      <c r="C606" s="18">
        <v>10</v>
      </c>
    </row>
    <row r="607" spans="1:3" ht="12.75" hidden="1">
      <c r="A607" s="18">
        <v>491</v>
      </c>
      <c r="B607" s="18" t="s">
        <v>2009</v>
      </c>
      <c r="C607" s="18">
        <v>17</v>
      </c>
    </row>
    <row r="608" spans="1:3" ht="12.75" hidden="1">
      <c r="A608" s="18">
        <v>492</v>
      </c>
      <c r="B608" s="18" t="s">
        <v>2012</v>
      </c>
      <c r="C608" s="18">
        <v>5</v>
      </c>
    </row>
    <row r="609" spans="1:3" ht="12.75" hidden="1">
      <c r="A609" s="18">
        <v>493</v>
      </c>
      <c r="B609" s="18" t="s">
        <v>2015</v>
      </c>
      <c r="C609" s="18">
        <v>14</v>
      </c>
    </row>
    <row r="610" spans="1:3" ht="12.75" hidden="1">
      <c r="A610" s="18">
        <v>494</v>
      </c>
      <c r="B610" s="18" t="s">
        <v>2018</v>
      </c>
      <c r="C610" s="18">
        <v>8</v>
      </c>
    </row>
    <row r="611" spans="1:3" ht="12.75" hidden="1">
      <c r="A611" s="18">
        <v>495</v>
      </c>
      <c r="B611" s="18" t="s">
        <v>2021</v>
      </c>
      <c r="C611" s="18">
        <v>18</v>
      </c>
    </row>
    <row r="612" spans="1:3" ht="12.75" hidden="1">
      <c r="A612" s="18">
        <v>497</v>
      </c>
      <c r="B612" s="18" t="s">
        <v>625</v>
      </c>
      <c r="C612" s="18">
        <v>18</v>
      </c>
    </row>
    <row r="613" spans="1:3" ht="12.75" hidden="1">
      <c r="A613" s="18">
        <v>498</v>
      </c>
      <c r="B613" s="18" t="s">
        <v>185</v>
      </c>
      <c r="C613" s="18">
        <v>10</v>
      </c>
    </row>
    <row r="614" spans="1:3" ht="12.75" hidden="1">
      <c r="A614" s="18">
        <v>499</v>
      </c>
      <c r="B614" s="18" t="s">
        <v>191</v>
      </c>
      <c r="C614" s="18">
        <v>15</v>
      </c>
    </row>
    <row r="615" spans="1:3" ht="12.75" hidden="1">
      <c r="A615" s="18">
        <v>500</v>
      </c>
      <c r="B615" s="18" t="s">
        <v>194</v>
      </c>
      <c r="C615" s="18">
        <v>18</v>
      </c>
    </row>
    <row r="616" spans="1:3" ht="12.75" hidden="1">
      <c r="A616" s="18">
        <v>502</v>
      </c>
      <c r="B616" s="18" t="s">
        <v>1724</v>
      </c>
      <c r="C616" s="18">
        <v>4</v>
      </c>
    </row>
    <row r="617" spans="1:3" ht="12.75" hidden="1">
      <c r="A617" s="18">
        <v>503</v>
      </c>
      <c r="B617" s="18" t="s">
        <v>961</v>
      </c>
      <c r="C617" s="18">
        <v>20</v>
      </c>
    </row>
    <row r="618" spans="1:3" ht="12.75" hidden="1">
      <c r="A618" s="18">
        <v>504</v>
      </c>
      <c r="B618" s="18" t="s">
        <v>964</v>
      </c>
      <c r="C618" s="18">
        <v>16</v>
      </c>
    </row>
    <row r="619" spans="1:3" ht="12.75" hidden="1">
      <c r="A619" s="18">
        <v>505</v>
      </c>
      <c r="B619" s="18" t="s">
        <v>967</v>
      </c>
      <c r="C619" s="18">
        <v>12</v>
      </c>
    </row>
    <row r="620" spans="1:3" ht="12.75" hidden="1">
      <c r="A620" s="18">
        <v>506</v>
      </c>
      <c r="B620" s="18" t="s">
        <v>970</v>
      </c>
      <c r="C620" s="18">
        <v>8</v>
      </c>
    </row>
    <row r="621" spans="1:3" ht="12.75" hidden="1">
      <c r="A621" s="18">
        <v>507</v>
      </c>
      <c r="B621" s="18" t="s">
        <v>2214</v>
      </c>
      <c r="C621" s="18">
        <v>1</v>
      </c>
    </row>
    <row r="622" spans="1:3" ht="12.75" hidden="1">
      <c r="A622" s="18">
        <v>508</v>
      </c>
      <c r="B622" s="18" t="s">
        <v>2217</v>
      </c>
      <c r="C622" s="18">
        <v>8</v>
      </c>
    </row>
    <row r="623" spans="1:3" ht="12.75" hidden="1">
      <c r="A623" s="18">
        <v>509</v>
      </c>
      <c r="B623" s="18" t="s">
        <v>2220</v>
      </c>
      <c r="C623" s="18">
        <v>3</v>
      </c>
    </row>
    <row r="624" spans="1:3" ht="12.75" hidden="1">
      <c r="A624" s="18">
        <v>510</v>
      </c>
      <c r="B624" s="18" t="s">
        <v>1591</v>
      </c>
      <c r="C624" s="18">
        <v>17</v>
      </c>
    </row>
    <row r="625" spans="1:3" ht="12.75" hidden="1">
      <c r="A625" s="18">
        <v>511</v>
      </c>
      <c r="B625" s="18" t="s">
        <v>2223</v>
      </c>
      <c r="C625" s="18">
        <v>9</v>
      </c>
    </row>
    <row r="626" spans="1:3" ht="12.75" hidden="1">
      <c r="A626" s="18">
        <v>512</v>
      </c>
      <c r="B626" s="18" t="s">
        <v>2226</v>
      </c>
      <c r="C626" s="18">
        <v>17</v>
      </c>
    </row>
    <row r="627" spans="1:3" ht="12.75" hidden="1">
      <c r="A627" s="18">
        <v>513</v>
      </c>
      <c r="B627" s="18" t="s">
        <v>2229</v>
      </c>
      <c r="C627" s="18">
        <v>12</v>
      </c>
    </row>
    <row r="628" spans="1:3" ht="12.75" hidden="1">
      <c r="A628" s="18">
        <v>514</v>
      </c>
      <c r="B628" s="18" t="s">
        <v>2232</v>
      </c>
      <c r="C628" s="18">
        <v>18</v>
      </c>
    </row>
    <row r="629" spans="1:3" ht="12.75" hidden="1">
      <c r="A629" s="18">
        <v>516</v>
      </c>
      <c r="B629" s="18" t="s">
        <v>2235</v>
      </c>
      <c r="C629" s="18">
        <v>14</v>
      </c>
    </row>
    <row r="630" spans="1:3" ht="12.75" hidden="1">
      <c r="A630" s="18">
        <v>517</v>
      </c>
      <c r="B630" s="18" t="s">
        <v>2241</v>
      </c>
      <c r="C630" s="18">
        <v>16</v>
      </c>
    </row>
    <row r="631" spans="1:3" ht="12.75" hidden="1">
      <c r="A631" s="18">
        <v>518</v>
      </c>
      <c r="B631" s="18" t="s">
        <v>2244</v>
      </c>
      <c r="C631" s="18">
        <v>2</v>
      </c>
    </row>
    <row r="632" spans="1:3" ht="12.75" hidden="1">
      <c r="A632" s="18">
        <v>519</v>
      </c>
      <c r="B632" s="18" t="s">
        <v>2247</v>
      </c>
      <c r="C632" s="18">
        <v>13</v>
      </c>
    </row>
    <row r="633" spans="1:3" ht="12.75" hidden="1">
      <c r="A633" s="18">
        <v>520</v>
      </c>
      <c r="B633" s="18" t="s">
        <v>2250</v>
      </c>
      <c r="C633" s="18">
        <v>2</v>
      </c>
    </row>
    <row r="634" spans="1:3" ht="12.75" hidden="1">
      <c r="A634" s="18">
        <v>521</v>
      </c>
      <c r="B634" s="18" t="s">
        <v>2631</v>
      </c>
      <c r="C634" s="18">
        <v>17</v>
      </c>
    </row>
    <row r="635" spans="1:3" ht="12.75" hidden="1">
      <c r="A635" s="18">
        <v>522</v>
      </c>
      <c r="B635" s="18" t="s">
        <v>2637</v>
      </c>
      <c r="C635" s="18">
        <v>19</v>
      </c>
    </row>
    <row r="636" spans="1:3" ht="12.75" hidden="1">
      <c r="A636" s="18">
        <v>523</v>
      </c>
      <c r="B636" s="18" t="s">
        <v>2643</v>
      </c>
      <c r="C636" s="18">
        <v>10</v>
      </c>
    </row>
    <row r="637" spans="1:3" ht="12.75" hidden="1">
      <c r="A637" s="18">
        <v>524</v>
      </c>
      <c r="B637" s="18" t="s">
        <v>2646</v>
      </c>
      <c r="C637" s="18">
        <v>13</v>
      </c>
    </row>
    <row r="638" spans="1:3" ht="12.75" hidden="1">
      <c r="A638" s="18">
        <v>525</v>
      </c>
      <c r="B638" s="18" t="s">
        <v>2649</v>
      </c>
      <c r="C638" s="18">
        <v>2</v>
      </c>
    </row>
    <row r="639" spans="1:3" ht="12.75" hidden="1">
      <c r="A639" s="18">
        <v>526</v>
      </c>
      <c r="B639" s="18" t="s">
        <v>2652</v>
      </c>
      <c r="C639" s="18">
        <v>2</v>
      </c>
    </row>
    <row r="640" spans="1:3" ht="12.75" hidden="1">
      <c r="A640" s="18">
        <v>527</v>
      </c>
      <c r="B640" s="18" t="s">
        <v>510</v>
      </c>
      <c r="C640" s="18">
        <v>17</v>
      </c>
    </row>
    <row r="641" spans="1:3" ht="12.75" hidden="1">
      <c r="A641" s="18">
        <v>528</v>
      </c>
      <c r="B641" s="18" t="s">
        <v>513</v>
      </c>
      <c r="C641" s="18">
        <v>4</v>
      </c>
    </row>
    <row r="642" spans="1:3" ht="12.75" hidden="1">
      <c r="A642" s="18">
        <v>530</v>
      </c>
      <c r="B642" s="18" t="s">
        <v>1207</v>
      </c>
      <c r="C642" s="18">
        <v>18</v>
      </c>
    </row>
    <row r="643" spans="1:3" ht="12.75" hidden="1">
      <c r="A643" s="18">
        <v>531</v>
      </c>
      <c r="B643" s="18" t="s">
        <v>826</v>
      </c>
      <c r="C643" s="18">
        <v>1</v>
      </c>
    </row>
    <row r="644" spans="1:3" ht="12.75" hidden="1">
      <c r="A644" s="18">
        <v>533</v>
      </c>
      <c r="B644" s="18" t="s">
        <v>1627</v>
      </c>
      <c r="C644" s="18">
        <v>16</v>
      </c>
    </row>
    <row r="645" spans="1:3" ht="12.75" hidden="1">
      <c r="A645" s="18">
        <v>534</v>
      </c>
      <c r="B645" s="18" t="s">
        <v>121</v>
      </c>
      <c r="C645" s="18">
        <v>16</v>
      </c>
    </row>
    <row r="646" spans="1:3" ht="12.75" hidden="1">
      <c r="A646" s="18">
        <v>535</v>
      </c>
      <c r="B646" s="18" t="s">
        <v>142</v>
      </c>
      <c r="C646" s="18">
        <v>1</v>
      </c>
    </row>
    <row r="647" spans="1:3" ht="12.75" hidden="1">
      <c r="A647" s="18">
        <v>536</v>
      </c>
      <c r="B647" s="18" t="s">
        <v>1384</v>
      </c>
      <c r="C647" s="18">
        <v>13</v>
      </c>
    </row>
    <row r="648" spans="1:3" ht="12.75" hidden="1">
      <c r="A648" s="18">
        <v>537</v>
      </c>
      <c r="B648" s="18" t="s">
        <v>1117</v>
      </c>
      <c r="C648" s="18">
        <v>8</v>
      </c>
    </row>
    <row r="649" spans="1:3" ht="12.75" hidden="1">
      <c r="A649" s="18">
        <v>538</v>
      </c>
      <c r="B649" s="18" t="s">
        <v>1223</v>
      </c>
      <c r="C649" s="18">
        <v>1</v>
      </c>
    </row>
    <row r="650" spans="1:3" ht="12.75" hidden="1">
      <c r="A650" s="18">
        <v>539</v>
      </c>
      <c r="B650" s="18" t="s">
        <v>1182</v>
      </c>
      <c r="C650" s="18">
        <v>1</v>
      </c>
    </row>
    <row r="651" spans="1:3" ht="12.75" hidden="1">
      <c r="A651" s="18">
        <v>540</v>
      </c>
      <c r="B651" s="18" t="s">
        <v>936</v>
      </c>
      <c r="C651" s="18">
        <v>1</v>
      </c>
    </row>
    <row r="652" spans="1:3" ht="12.75" hidden="1">
      <c r="A652" s="18">
        <v>541</v>
      </c>
      <c r="B652" s="18" t="s">
        <v>2385</v>
      </c>
      <c r="C652" s="18">
        <v>1</v>
      </c>
    </row>
    <row r="653" spans="1:3" ht="12.75" hidden="1">
      <c r="A653" s="18">
        <v>542</v>
      </c>
      <c r="B653" s="18" t="s">
        <v>2410</v>
      </c>
      <c r="C653" s="18">
        <v>1</v>
      </c>
    </row>
    <row r="654" spans="1:3" ht="12.75" hidden="1">
      <c r="A654" s="18">
        <v>543</v>
      </c>
      <c r="B654" s="18" t="s">
        <v>2640</v>
      </c>
      <c r="C654" s="18">
        <v>1</v>
      </c>
    </row>
    <row r="655" spans="1:3" ht="12.75" hidden="1">
      <c r="A655" s="18">
        <v>544</v>
      </c>
      <c r="B655" s="18" t="s">
        <v>2249</v>
      </c>
      <c r="C655" s="18">
        <v>1</v>
      </c>
    </row>
    <row r="656" spans="1:3" ht="12.75" hidden="1">
      <c r="A656" s="18">
        <v>545</v>
      </c>
      <c r="B656" s="18" t="s">
        <v>1630</v>
      </c>
      <c r="C656" s="18">
        <v>1</v>
      </c>
    </row>
    <row r="657" spans="1:3" ht="12.75" hidden="1">
      <c r="A657" s="18">
        <v>547</v>
      </c>
      <c r="B657" s="18" t="s">
        <v>1620</v>
      </c>
      <c r="C657" s="18">
        <v>1</v>
      </c>
    </row>
    <row r="658" spans="1:3" ht="12.75" hidden="1">
      <c r="A658" s="18">
        <v>548</v>
      </c>
      <c r="B658" s="18" t="s">
        <v>918</v>
      </c>
      <c r="C658" s="18">
        <v>1</v>
      </c>
    </row>
    <row r="659" spans="1:3" ht="12.75" hidden="1">
      <c r="A659" s="18">
        <v>549</v>
      </c>
      <c r="B659" s="18" t="s">
        <v>1881</v>
      </c>
      <c r="C659" s="18">
        <v>1</v>
      </c>
    </row>
    <row r="660" spans="1:3" ht="12.75" hidden="1">
      <c r="A660" s="18">
        <v>550</v>
      </c>
      <c r="B660" s="18" t="s">
        <v>1388</v>
      </c>
      <c r="C660" s="18">
        <v>1</v>
      </c>
    </row>
    <row r="661" spans="1:3" ht="12.75" hidden="1">
      <c r="A661" s="18">
        <v>551</v>
      </c>
      <c r="B661" s="18" t="s">
        <v>1289</v>
      </c>
      <c r="C661" s="18">
        <v>2</v>
      </c>
    </row>
    <row r="662" spans="1:3" ht="12.75" hidden="1">
      <c r="A662" s="18">
        <v>552</v>
      </c>
      <c r="B662" s="18" t="s">
        <v>2632</v>
      </c>
      <c r="C662" s="18">
        <v>2</v>
      </c>
    </row>
    <row r="663" spans="1:3" ht="12.75" hidden="1">
      <c r="A663" s="18">
        <v>553</v>
      </c>
      <c r="B663" s="18" t="s">
        <v>1535</v>
      </c>
      <c r="C663" s="18">
        <v>2</v>
      </c>
    </row>
    <row r="664" spans="1:3" ht="12.75" hidden="1">
      <c r="A664" s="18">
        <v>554</v>
      </c>
      <c r="B664" s="18" t="s">
        <v>831</v>
      </c>
      <c r="C664" s="18">
        <v>3</v>
      </c>
    </row>
    <row r="665" spans="1:3" ht="12.75" hidden="1">
      <c r="A665" s="18">
        <v>555</v>
      </c>
      <c r="B665" s="18" t="s">
        <v>1300</v>
      </c>
      <c r="C665" s="18">
        <v>4</v>
      </c>
    </row>
    <row r="666" spans="1:3" ht="12.75" hidden="1">
      <c r="A666" s="18">
        <v>556</v>
      </c>
      <c r="B666" s="18" t="s">
        <v>1215</v>
      </c>
      <c r="C666" s="18">
        <v>4</v>
      </c>
    </row>
    <row r="667" spans="1:3" ht="12.75" hidden="1">
      <c r="A667" s="18">
        <v>557</v>
      </c>
      <c r="B667" s="18" t="s">
        <v>692</v>
      </c>
      <c r="C667" s="18">
        <v>5</v>
      </c>
    </row>
    <row r="668" spans="1:3" ht="12.75" hidden="1">
      <c r="A668" s="18">
        <v>558</v>
      </c>
      <c r="B668" s="18" t="s">
        <v>2689</v>
      </c>
      <c r="C668" s="18">
        <v>6</v>
      </c>
    </row>
    <row r="669" spans="1:3" ht="12.75" hidden="1">
      <c r="A669" s="18">
        <v>559</v>
      </c>
      <c r="B669" s="18" t="s">
        <v>2641</v>
      </c>
      <c r="C669" s="18">
        <v>6</v>
      </c>
    </row>
    <row r="670" spans="1:3" ht="12.75" hidden="1">
      <c r="A670" s="18">
        <v>560</v>
      </c>
      <c r="B670" s="18" t="s">
        <v>2644</v>
      </c>
      <c r="C670" s="18">
        <v>6</v>
      </c>
    </row>
    <row r="671" spans="1:3" ht="12.75" hidden="1">
      <c r="A671" s="18">
        <v>561</v>
      </c>
      <c r="B671" s="18" t="s">
        <v>2123</v>
      </c>
      <c r="C671" s="18">
        <v>7</v>
      </c>
    </row>
    <row r="672" spans="1:3" ht="12.75" hidden="1">
      <c r="A672" s="18">
        <v>562</v>
      </c>
      <c r="B672" s="18" t="s">
        <v>1530</v>
      </c>
      <c r="C672" s="18">
        <v>7</v>
      </c>
    </row>
    <row r="673" spans="1:3" ht="12.75" hidden="1">
      <c r="A673" s="18">
        <v>564</v>
      </c>
      <c r="B673" s="18" t="s">
        <v>2743</v>
      </c>
      <c r="C673" s="18">
        <v>7</v>
      </c>
    </row>
    <row r="674" spans="1:3" ht="12.75" hidden="1">
      <c r="A674" s="18">
        <v>565</v>
      </c>
      <c r="B674" s="18" t="s">
        <v>2686</v>
      </c>
      <c r="C674" s="18">
        <v>7</v>
      </c>
    </row>
    <row r="675" spans="1:3" ht="12.75" hidden="1">
      <c r="A675" s="18">
        <v>566</v>
      </c>
      <c r="B675" s="18" t="s">
        <v>1204</v>
      </c>
      <c r="C675" s="18">
        <v>12</v>
      </c>
    </row>
    <row r="676" spans="1:3" ht="12.75" hidden="1">
      <c r="A676" s="18">
        <v>567</v>
      </c>
      <c r="B676" s="18" t="s">
        <v>2451</v>
      </c>
      <c r="C676" s="18">
        <v>12</v>
      </c>
    </row>
    <row r="677" spans="1:3" ht="12.75" hidden="1">
      <c r="A677" s="18">
        <v>568</v>
      </c>
      <c r="B677" s="18" t="s">
        <v>2747</v>
      </c>
      <c r="C677" s="18">
        <v>12</v>
      </c>
    </row>
    <row r="678" spans="1:3" ht="12.75" hidden="1">
      <c r="A678" s="18">
        <v>569</v>
      </c>
      <c r="B678" s="18" t="s">
        <v>2690</v>
      </c>
      <c r="C678" s="18">
        <v>12</v>
      </c>
    </row>
    <row r="679" spans="1:3" ht="12.75" hidden="1">
      <c r="A679" s="18">
        <v>570</v>
      </c>
      <c r="B679" s="18" t="s">
        <v>1536</v>
      </c>
      <c r="C679" s="18">
        <v>13</v>
      </c>
    </row>
    <row r="680" spans="1:3" ht="12.75" hidden="1">
      <c r="A680" s="18">
        <v>571</v>
      </c>
      <c r="B680" s="18" t="s">
        <v>1097</v>
      </c>
      <c r="C680" s="18">
        <v>13</v>
      </c>
    </row>
    <row r="681" spans="1:3" ht="12.75" hidden="1">
      <c r="A681" s="18">
        <v>572</v>
      </c>
      <c r="B681" s="18" t="s">
        <v>1529</v>
      </c>
      <c r="C681" s="18">
        <v>13</v>
      </c>
    </row>
    <row r="682" spans="1:3" ht="12.75" hidden="1">
      <c r="A682" s="18">
        <v>573</v>
      </c>
      <c r="B682" s="18" t="s">
        <v>2648</v>
      </c>
      <c r="C682" s="18">
        <v>13</v>
      </c>
    </row>
    <row r="683" spans="1:3" ht="12.75" hidden="1">
      <c r="A683" s="18">
        <v>574</v>
      </c>
      <c r="B683" s="18" t="s">
        <v>1120</v>
      </c>
      <c r="C683" s="18">
        <v>13</v>
      </c>
    </row>
    <row r="684" spans="1:3" ht="12.75" hidden="1">
      <c r="A684" s="18">
        <v>575</v>
      </c>
      <c r="B684" s="18" t="s">
        <v>680</v>
      </c>
      <c r="C684" s="18">
        <v>14</v>
      </c>
    </row>
    <row r="685" spans="1:3" ht="12.75" hidden="1">
      <c r="A685" s="18">
        <v>576</v>
      </c>
      <c r="B685" s="18" t="s">
        <v>2386</v>
      </c>
      <c r="C685" s="18">
        <v>14</v>
      </c>
    </row>
    <row r="686" spans="1:3" ht="12.75" hidden="1">
      <c r="A686" s="18">
        <v>578</v>
      </c>
      <c r="B686" s="18" t="s">
        <v>1297</v>
      </c>
      <c r="C686" s="18">
        <v>14</v>
      </c>
    </row>
    <row r="687" spans="1:3" ht="12.75" hidden="1">
      <c r="A687" s="18">
        <v>579</v>
      </c>
      <c r="B687" s="18" t="s">
        <v>188</v>
      </c>
      <c r="C687" s="18">
        <v>15</v>
      </c>
    </row>
    <row r="688" spans="1:3" ht="12.75" hidden="1">
      <c r="A688" s="18">
        <v>581</v>
      </c>
      <c r="B688" s="18" t="s">
        <v>960</v>
      </c>
      <c r="C688" s="18">
        <v>15</v>
      </c>
    </row>
    <row r="689" spans="1:3" ht="12.75" hidden="1">
      <c r="A689" s="18">
        <v>582</v>
      </c>
      <c r="B689" s="18" t="s">
        <v>1221</v>
      </c>
      <c r="C689" s="18">
        <v>16</v>
      </c>
    </row>
    <row r="690" spans="1:3" ht="12.75" hidden="1">
      <c r="A690" s="18">
        <v>583</v>
      </c>
      <c r="B690" s="18" t="s">
        <v>1121</v>
      </c>
      <c r="C690" s="18">
        <v>16</v>
      </c>
    </row>
    <row r="691" spans="1:3" ht="12.75" hidden="1">
      <c r="A691" s="18">
        <v>584</v>
      </c>
      <c r="B691" s="18" t="s">
        <v>959</v>
      </c>
      <c r="C691" s="18">
        <v>17</v>
      </c>
    </row>
    <row r="692" spans="1:3" ht="12.75" hidden="1">
      <c r="A692" s="18">
        <v>585</v>
      </c>
      <c r="B692" s="18" t="s">
        <v>684</v>
      </c>
      <c r="C692" s="18">
        <v>17</v>
      </c>
    </row>
    <row r="693" spans="1:3" ht="12.75" hidden="1">
      <c r="A693" s="18">
        <v>586</v>
      </c>
      <c r="B693" s="18" t="s">
        <v>2443</v>
      </c>
      <c r="C693" s="18">
        <v>17</v>
      </c>
    </row>
    <row r="694" spans="1:3" ht="12.75" hidden="1">
      <c r="A694" s="18">
        <v>587</v>
      </c>
      <c r="B694" s="18" t="s">
        <v>1329</v>
      </c>
      <c r="C694" s="18">
        <v>17</v>
      </c>
    </row>
    <row r="695" spans="1:3" ht="12.75" hidden="1">
      <c r="A695" s="18">
        <v>588</v>
      </c>
      <c r="B695" s="18" t="s">
        <v>1098</v>
      </c>
      <c r="C695" s="18">
        <v>17</v>
      </c>
    </row>
    <row r="696" spans="1:3" ht="12.75" hidden="1">
      <c r="A696" s="18">
        <v>589</v>
      </c>
      <c r="B696" s="18" t="s">
        <v>825</v>
      </c>
      <c r="C696" s="18">
        <v>17</v>
      </c>
    </row>
    <row r="697" spans="1:3" ht="12.75" hidden="1">
      <c r="A697" s="18">
        <v>590</v>
      </c>
      <c r="B697" s="18" t="s">
        <v>938</v>
      </c>
      <c r="C697" s="18">
        <v>17</v>
      </c>
    </row>
    <row r="698" spans="1:3" ht="12.75" hidden="1">
      <c r="A698" s="18">
        <v>591</v>
      </c>
      <c r="B698" s="18" t="s">
        <v>1616</v>
      </c>
      <c r="C698" s="18">
        <v>17</v>
      </c>
    </row>
    <row r="699" spans="1:3" ht="12.75" hidden="1">
      <c r="A699" s="18">
        <v>592</v>
      </c>
      <c r="B699" s="18" t="s">
        <v>1307</v>
      </c>
      <c r="C699" s="18">
        <v>17</v>
      </c>
    </row>
    <row r="700" spans="1:3" ht="12.75" hidden="1">
      <c r="A700" s="18">
        <v>593</v>
      </c>
      <c r="B700" s="18" t="s">
        <v>2121</v>
      </c>
      <c r="C700" s="18">
        <v>17</v>
      </c>
    </row>
    <row r="701" spans="1:3" ht="12.75" hidden="1">
      <c r="A701" s="18">
        <v>595</v>
      </c>
      <c r="B701" s="18" t="s">
        <v>2253</v>
      </c>
      <c r="C701" s="18">
        <v>18</v>
      </c>
    </row>
    <row r="702" spans="1:3" ht="12.75" hidden="1">
      <c r="A702" s="18">
        <v>596</v>
      </c>
      <c r="B702" s="18" t="s">
        <v>824</v>
      </c>
      <c r="C702" s="18">
        <v>18</v>
      </c>
    </row>
    <row r="703" spans="1:3" ht="12.75" hidden="1">
      <c r="A703" s="18">
        <v>597</v>
      </c>
      <c r="B703" s="18" t="s">
        <v>119</v>
      </c>
      <c r="C703" s="18">
        <v>19</v>
      </c>
    </row>
    <row r="704" spans="1:3" ht="12.75" hidden="1">
      <c r="A704" s="18">
        <v>598</v>
      </c>
      <c r="B704" s="18" t="s">
        <v>882</v>
      </c>
      <c r="C704" s="18">
        <v>19</v>
      </c>
    </row>
    <row r="705" spans="1:3" ht="12.75" hidden="1">
      <c r="A705" s="18">
        <v>599</v>
      </c>
      <c r="B705" s="18" t="s">
        <v>2236</v>
      </c>
      <c r="C705" s="18">
        <v>19</v>
      </c>
    </row>
    <row r="706" spans="1:3" ht="12.75" hidden="1">
      <c r="A706" s="18">
        <v>600</v>
      </c>
      <c r="B706" s="18" t="s">
        <v>1285</v>
      </c>
      <c r="C706" s="18">
        <v>19</v>
      </c>
    </row>
    <row r="707" spans="1:3" ht="12.75" hidden="1">
      <c r="A707" s="18">
        <v>601</v>
      </c>
      <c r="B707" s="18" t="s">
        <v>2116</v>
      </c>
      <c r="C707" s="18">
        <v>19</v>
      </c>
    </row>
    <row r="708" spans="1:3" ht="12.75" hidden="1">
      <c r="A708" s="18">
        <v>602</v>
      </c>
      <c r="B708" s="18" t="s">
        <v>939</v>
      </c>
      <c r="C708" s="18">
        <v>20</v>
      </c>
    </row>
    <row r="709" spans="1:3" ht="12.75" hidden="1">
      <c r="A709" s="18">
        <v>603</v>
      </c>
      <c r="B709" s="18" t="s">
        <v>1305</v>
      </c>
      <c r="C709" s="18">
        <v>20</v>
      </c>
    </row>
    <row r="710" spans="1:3" ht="12.75" hidden="1">
      <c r="A710" s="18">
        <v>604</v>
      </c>
      <c r="B710" s="18" t="s">
        <v>2412</v>
      </c>
      <c r="C710" s="18">
        <v>20</v>
      </c>
    </row>
    <row r="711" spans="1:3" ht="12.75" hidden="1">
      <c r="A711" s="18">
        <v>605</v>
      </c>
      <c r="B711" s="18" t="s">
        <v>2691</v>
      </c>
      <c r="C711" s="18">
        <v>20</v>
      </c>
    </row>
    <row r="712" spans="1:3" ht="12.75" hidden="1">
      <c r="A712" s="18">
        <v>606</v>
      </c>
      <c r="B712" s="18" t="s">
        <v>919</v>
      </c>
      <c r="C712" s="18">
        <v>20</v>
      </c>
    </row>
    <row r="713" spans="1:3" ht="12.75" hidden="1">
      <c r="A713" s="18">
        <v>607</v>
      </c>
      <c r="B713" s="18" t="s">
        <v>1310</v>
      </c>
      <c r="C713" s="18">
        <v>20</v>
      </c>
    </row>
    <row r="714" spans="1:3" ht="12.75" hidden="1">
      <c r="A714" s="18">
        <v>608</v>
      </c>
      <c r="B714" s="18" t="s">
        <v>2746</v>
      </c>
      <c r="C714" s="18">
        <v>14</v>
      </c>
    </row>
    <row r="715" spans="1:3" ht="12.75" hidden="1">
      <c r="A715" s="18">
        <v>609</v>
      </c>
      <c r="B715" s="18" t="s">
        <v>2224</v>
      </c>
      <c r="C715" s="18">
        <v>16</v>
      </c>
    </row>
    <row r="716" spans="1:3" ht="12.75" hidden="1">
      <c r="A716" s="18">
        <v>610</v>
      </c>
      <c r="B716" s="18" t="s">
        <v>2390</v>
      </c>
      <c r="C716" s="18">
        <v>16</v>
      </c>
    </row>
    <row r="717" spans="1:3" ht="12.75" hidden="1">
      <c r="A717" s="18">
        <v>612</v>
      </c>
      <c r="B717" s="18" t="s">
        <v>238</v>
      </c>
      <c r="C717" s="18">
        <v>14</v>
      </c>
    </row>
    <row r="718" spans="1:3" ht="12.75" hidden="1">
      <c r="A718" s="18">
        <v>614</v>
      </c>
      <c r="B718" s="18" t="s">
        <v>923</v>
      </c>
      <c r="C718" s="18">
        <v>6</v>
      </c>
    </row>
    <row r="719" spans="1:3" ht="12.75" hidden="1">
      <c r="A719" s="18">
        <v>616</v>
      </c>
      <c r="B719" s="18" t="s">
        <v>2237</v>
      </c>
      <c r="C719" s="18">
        <v>15</v>
      </c>
    </row>
    <row r="720" spans="1:3" ht="12.75" hidden="1">
      <c r="A720" s="18">
        <v>617</v>
      </c>
      <c r="B720" s="18" t="s">
        <v>2536</v>
      </c>
      <c r="C720" s="18">
        <v>6</v>
      </c>
    </row>
    <row r="721" spans="1:3" ht="12.75" hidden="1">
      <c r="A721" s="18">
        <v>618</v>
      </c>
      <c r="B721" s="18" t="s">
        <v>2684</v>
      </c>
      <c r="C721" s="18">
        <v>18</v>
      </c>
    </row>
    <row r="722" spans="1:3" ht="12.75" hidden="1">
      <c r="A722" s="18">
        <v>619</v>
      </c>
      <c r="B722" s="18" t="s">
        <v>2122</v>
      </c>
      <c r="C722" s="18">
        <v>20</v>
      </c>
    </row>
    <row r="723" spans="1:3" ht="12.75" hidden="1">
      <c r="A723" s="18">
        <v>620</v>
      </c>
      <c r="B723" s="18" t="s">
        <v>2425</v>
      </c>
      <c r="C723" s="18">
        <v>15</v>
      </c>
    </row>
    <row r="724" spans="1:3" ht="12.75" hidden="1">
      <c r="A724" s="18">
        <v>621</v>
      </c>
      <c r="B724" s="18" t="s">
        <v>1225</v>
      </c>
      <c r="C724" s="18">
        <v>13</v>
      </c>
    </row>
    <row r="725" spans="1:3" ht="12.75" hidden="1">
      <c r="A725" s="18">
        <v>622</v>
      </c>
      <c r="B725" s="18" t="s">
        <v>1386</v>
      </c>
      <c r="C725" s="18">
        <v>4</v>
      </c>
    </row>
    <row r="726" spans="1:3" ht="12.75" hidden="1">
      <c r="A726" s="18">
        <v>623</v>
      </c>
      <c r="B726" s="18" t="s">
        <v>2647</v>
      </c>
      <c r="C726" s="18">
        <v>8</v>
      </c>
    </row>
    <row r="727" spans="1:3" ht="12.75" hidden="1">
      <c r="A727" s="18">
        <v>624</v>
      </c>
      <c r="B727" s="18" t="s">
        <v>1332</v>
      </c>
      <c r="C727" s="18">
        <v>13</v>
      </c>
    </row>
    <row r="728" spans="1:3" ht="12.75" hidden="1">
      <c r="A728" s="18">
        <v>625</v>
      </c>
      <c r="B728" s="18" t="s">
        <v>2238</v>
      </c>
      <c r="C728" s="18">
        <v>15</v>
      </c>
    </row>
    <row r="729" spans="1:3" ht="12.75" hidden="1">
      <c r="A729" s="18">
        <v>626</v>
      </c>
      <c r="B729" s="18" t="s">
        <v>698</v>
      </c>
      <c r="C729" s="18">
        <v>16</v>
      </c>
    </row>
    <row r="730" spans="1:3" ht="12.75" hidden="1">
      <c r="A730" s="18">
        <v>628</v>
      </c>
      <c r="B730" s="18" t="s">
        <v>2537</v>
      </c>
      <c r="C730" s="18">
        <v>18</v>
      </c>
    </row>
    <row r="731" spans="1:3" ht="12.75" hidden="1">
      <c r="A731" s="18">
        <v>629</v>
      </c>
      <c r="B731" s="18" t="s">
        <v>2131</v>
      </c>
      <c r="C731" s="18">
        <v>18</v>
      </c>
    </row>
    <row r="732" spans="1:2" ht="12.75" hidden="1">
      <c r="A732" s="18">
        <v>631</v>
      </c>
      <c r="B732" s="18" t="s">
        <v>1674</v>
      </c>
    </row>
    <row r="733" ht="12.75" hidden="1"/>
    <row r="734" ht="12.75" hidden="1"/>
    <row r="735" ht="12.75" hidden="1"/>
    <row r="736" spans="1:2" ht="12.75" hidden="1">
      <c r="A736" s="18" t="s">
        <v>736</v>
      </c>
      <c r="B736" s="18" t="s">
        <v>1467</v>
      </c>
    </row>
    <row r="737" spans="1:2" ht="12.75" hidden="1">
      <c r="A737" s="18" t="s">
        <v>1481</v>
      </c>
      <c r="B737" s="18" t="s">
        <v>1468</v>
      </c>
    </row>
    <row r="738" spans="1:2" ht="12.75" hidden="1">
      <c r="A738" s="18" t="s">
        <v>433</v>
      </c>
      <c r="B738" s="18" t="s">
        <v>434</v>
      </c>
    </row>
    <row r="739" spans="1:2" ht="12.75" hidden="1">
      <c r="A739" s="18" t="s">
        <v>435</v>
      </c>
      <c r="B739" s="18" t="s">
        <v>1469</v>
      </c>
    </row>
    <row r="740" spans="1:2" ht="12.75" hidden="1">
      <c r="A740" s="18" t="s">
        <v>436</v>
      </c>
      <c r="B740" s="18" t="s">
        <v>437</v>
      </c>
    </row>
    <row r="741" spans="1:2" ht="12.75" hidden="1">
      <c r="A741" s="18" t="s">
        <v>438</v>
      </c>
      <c r="B741" s="18" t="s">
        <v>439</v>
      </c>
    </row>
    <row r="742" spans="1:2" ht="12.75" hidden="1">
      <c r="A742" s="18" t="s">
        <v>440</v>
      </c>
      <c r="B742" s="18" t="s">
        <v>441</v>
      </c>
    </row>
    <row r="743" spans="1:2" ht="12.75" hidden="1">
      <c r="A743" s="18" t="s">
        <v>442</v>
      </c>
      <c r="B743" s="18" t="s">
        <v>443</v>
      </c>
    </row>
    <row r="744" spans="1:2" ht="12.75" hidden="1">
      <c r="A744" s="18" t="s">
        <v>444</v>
      </c>
      <c r="B744" s="18" t="s">
        <v>445</v>
      </c>
    </row>
    <row r="745" spans="1:2" ht="12.75" hidden="1">
      <c r="A745" s="18" t="s">
        <v>446</v>
      </c>
      <c r="B745" s="18" t="s">
        <v>447</v>
      </c>
    </row>
    <row r="746" spans="1:2" ht="12.75" hidden="1">
      <c r="A746" s="18" t="s">
        <v>448</v>
      </c>
      <c r="B746" s="18" t="s">
        <v>449</v>
      </c>
    </row>
    <row r="747" spans="1:2" ht="12.75" hidden="1">
      <c r="A747" s="18" t="s">
        <v>450</v>
      </c>
      <c r="B747" s="18" t="s">
        <v>451</v>
      </c>
    </row>
    <row r="748" spans="1:2" ht="12.75" hidden="1">
      <c r="A748" s="18" t="s">
        <v>452</v>
      </c>
      <c r="B748" s="18" t="s">
        <v>718</v>
      </c>
    </row>
    <row r="749" spans="1:2" ht="12.75" hidden="1">
      <c r="A749" s="18" t="s">
        <v>1925</v>
      </c>
      <c r="B749" s="18" t="s">
        <v>1926</v>
      </c>
    </row>
    <row r="750" spans="1:2" ht="12.75" hidden="1">
      <c r="A750" s="18" t="s">
        <v>1927</v>
      </c>
      <c r="B750" s="18" t="s">
        <v>2281</v>
      </c>
    </row>
    <row r="751" spans="1:2" ht="12.75" hidden="1">
      <c r="A751" s="18" t="s">
        <v>2282</v>
      </c>
      <c r="B751" s="18" t="s">
        <v>719</v>
      </c>
    </row>
    <row r="752" spans="1:2" ht="12.75" hidden="1">
      <c r="A752" s="18" t="s">
        <v>2464</v>
      </c>
      <c r="B752" s="18" t="s">
        <v>2465</v>
      </c>
    </row>
    <row r="753" spans="1:2" ht="12.75" hidden="1">
      <c r="A753" s="18" t="s">
        <v>2466</v>
      </c>
      <c r="B753" s="18" t="s">
        <v>2467</v>
      </c>
    </row>
    <row r="754" spans="1:2" ht="12.75" hidden="1">
      <c r="A754" s="18" t="s">
        <v>2468</v>
      </c>
      <c r="B754" s="18" t="s">
        <v>2469</v>
      </c>
    </row>
    <row r="755" spans="1:2" ht="12.75" hidden="1">
      <c r="A755" s="18" t="s">
        <v>632</v>
      </c>
      <c r="B755" s="18" t="s">
        <v>633</v>
      </c>
    </row>
    <row r="756" spans="1:2" ht="12.75" hidden="1">
      <c r="A756" s="18" t="s">
        <v>634</v>
      </c>
      <c r="B756" s="18" t="s">
        <v>635</v>
      </c>
    </row>
    <row r="757" spans="1:2" ht="12.75" hidden="1">
      <c r="A757" s="18" t="s">
        <v>636</v>
      </c>
      <c r="B757" s="18" t="s">
        <v>637</v>
      </c>
    </row>
    <row r="758" spans="1:2" ht="12.75" hidden="1">
      <c r="A758" s="18" t="s">
        <v>638</v>
      </c>
      <c r="B758" s="18" t="s">
        <v>639</v>
      </c>
    </row>
    <row r="759" spans="1:2" ht="12.75" hidden="1">
      <c r="A759" s="18" t="s">
        <v>640</v>
      </c>
      <c r="B759" s="18" t="s">
        <v>641</v>
      </c>
    </row>
    <row r="760" spans="1:2" ht="12.75" hidden="1">
      <c r="A760" s="18" t="s">
        <v>642</v>
      </c>
      <c r="B760" s="18" t="s">
        <v>643</v>
      </c>
    </row>
    <row r="761" spans="1:2" ht="12.75" hidden="1">
      <c r="A761" s="18" t="s">
        <v>644</v>
      </c>
      <c r="B761" s="18" t="s">
        <v>645</v>
      </c>
    </row>
    <row r="762" spans="1:2" ht="12.75" hidden="1">
      <c r="A762" s="18" t="s">
        <v>646</v>
      </c>
      <c r="B762" s="18" t="s">
        <v>1100</v>
      </c>
    </row>
    <row r="763" spans="1:2" ht="12.75" hidden="1">
      <c r="A763" s="18" t="s">
        <v>1101</v>
      </c>
      <c r="B763" s="18" t="s">
        <v>1871</v>
      </c>
    </row>
    <row r="764" spans="1:2" ht="12.75" hidden="1">
      <c r="A764" s="18" t="s">
        <v>1872</v>
      </c>
      <c r="B764" s="18" t="s">
        <v>1873</v>
      </c>
    </row>
    <row r="765" spans="1:2" ht="12.75" hidden="1">
      <c r="A765" s="18" t="s">
        <v>1874</v>
      </c>
      <c r="B765" s="18" t="s">
        <v>720</v>
      </c>
    </row>
    <row r="766" spans="1:2" ht="12.75" hidden="1">
      <c r="A766" s="18" t="s">
        <v>1875</v>
      </c>
      <c r="B766" s="18" t="s">
        <v>1876</v>
      </c>
    </row>
    <row r="767" spans="1:2" ht="12.75" hidden="1">
      <c r="A767" s="18" t="s">
        <v>1877</v>
      </c>
      <c r="B767" s="18" t="s">
        <v>721</v>
      </c>
    </row>
    <row r="768" spans="1:2" ht="12.75" hidden="1">
      <c r="A768" s="18" t="s">
        <v>1878</v>
      </c>
      <c r="B768" s="18" t="s">
        <v>722</v>
      </c>
    </row>
    <row r="769" spans="1:2" ht="12.75" hidden="1">
      <c r="A769" s="18" t="s">
        <v>374</v>
      </c>
      <c r="B769" s="18" t="s">
        <v>375</v>
      </c>
    </row>
    <row r="770" spans="1:2" ht="12.75" hidden="1">
      <c r="A770" s="18" t="s">
        <v>376</v>
      </c>
      <c r="B770" s="18" t="s">
        <v>723</v>
      </c>
    </row>
    <row r="771" spans="1:2" ht="12.75" hidden="1">
      <c r="A771" s="18" t="s">
        <v>377</v>
      </c>
      <c r="B771" s="18" t="s">
        <v>378</v>
      </c>
    </row>
    <row r="772" spans="1:2" ht="12.75" hidden="1">
      <c r="A772" s="18" t="s">
        <v>379</v>
      </c>
      <c r="B772" s="18" t="s">
        <v>380</v>
      </c>
    </row>
    <row r="773" spans="1:2" ht="12.75" hidden="1">
      <c r="A773" s="18" t="s">
        <v>381</v>
      </c>
      <c r="B773" s="18" t="s">
        <v>382</v>
      </c>
    </row>
    <row r="774" spans="1:2" ht="12.75" hidden="1">
      <c r="A774" s="18" t="s">
        <v>383</v>
      </c>
      <c r="B774" s="18" t="s">
        <v>384</v>
      </c>
    </row>
    <row r="775" spans="1:2" ht="12.75" hidden="1">
      <c r="A775" s="18" t="s">
        <v>385</v>
      </c>
      <c r="B775" s="18" t="s">
        <v>386</v>
      </c>
    </row>
    <row r="776" spans="1:2" ht="12.75" hidden="1">
      <c r="A776" s="18" t="s">
        <v>387</v>
      </c>
      <c r="B776" s="18" t="s">
        <v>388</v>
      </c>
    </row>
    <row r="777" spans="1:2" ht="12.75" hidden="1">
      <c r="A777" s="18" t="s">
        <v>389</v>
      </c>
      <c r="B777" s="18" t="s">
        <v>390</v>
      </c>
    </row>
    <row r="778" spans="1:2" ht="12.75" hidden="1">
      <c r="A778" s="18" t="s">
        <v>391</v>
      </c>
      <c r="B778" s="18" t="s">
        <v>392</v>
      </c>
    </row>
    <row r="779" spans="1:2" ht="12.75" hidden="1">
      <c r="A779" s="18" t="s">
        <v>393</v>
      </c>
      <c r="B779" s="18" t="s">
        <v>394</v>
      </c>
    </row>
    <row r="780" spans="1:2" ht="12.75" hidden="1">
      <c r="A780" s="18" t="s">
        <v>395</v>
      </c>
      <c r="B780" s="18" t="s">
        <v>396</v>
      </c>
    </row>
    <row r="781" spans="1:2" ht="12.75" hidden="1">
      <c r="A781" s="18" t="s">
        <v>397</v>
      </c>
      <c r="B781" s="18" t="s">
        <v>398</v>
      </c>
    </row>
    <row r="782" spans="1:2" ht="12.75" hidden="1">
      <c r="A782" s="18" t="s">
        <v>399</v>
      </c>
      <c r="B782" s="18" t="s">
        <v>400</v>
      </c>
    </row>
    <row r="783" spans="1:2" ht="12.75" hidden="1">
      <c r="A783" s="18" t="s">
        <v>401</v>
      </c>
      <c r="B783" s="18" t="s">
        <v>724</v>
      </c>
    </row>
    <row r="784" spans="1:2" ht="12.75" hidden="1">
      <c r="A784" s="18" t="s">
        <v>836</v>
      </c>
      <c r="B784" s="18" t="s">
        <v>725</v>
      </c>
    </row>
    <row r="785" spans="1:2" ht="12.75" hidden="1">
      <c r="A785" s="18" t="s">
        <v>837</v>
      </c>
      <c r="B785" s="18" t="s">
        <v>838</v>
      </c>
    </row>
    <row r="786" spans="1:2" ht="12.75" hidden="1">
      <c r="A786" s="18" t="s">
        <v>1568</v>
      </c>
      <c r="B786" s="18" t="s">
        <v>1569</v>
      </c>
    </row>
    <row r="787" spans="1:2" ht="12.75" hidden="1">
      <c r="A787" s="18" t="s">
        <v>1570</v>
      </c>
      <c r="B787" s="18" t="s">
        <v>1571</v>
      </c>
    </row>
    <row r="788" spans="1:2" ht="12.75" hidden="1">
      <c r="A788" s="18" t="s">
        <v>1572</v>
      </c>
      <c r="B788" s="18" t="s">
        <v>1165</v>
      </c>
    </row>
    <row r="789" spans="1:2" ht="12.75" hidden="1">
      <c r="A789" s="18" t="s">
        <v>1166</v>
      </c>
      <c r="B789" s="18" t="s">
        <v>726</v>
      </c>
    </row>
    <row r="790" spans="1:2" ht="12.75" hidden="1">
      <c r="A790" s="18" t="s">
        <v>1490</v>
      </c>
      <c r="B790" s="18" t="s">
        <v>727</v>
      </c>
    </row>
    <row r="791" spans="1:2" ht="12.75" hidden="1">
      <c r="A791" s="18" t="s">
        <v>1491</v>
      </c>
      <c r="B791" s="18" t="s">
        <v>1342</v>
      </c>
    </row>
    <row r="792" spans="1:2" ht="12.75" hidden="1">
      <c r="A792" s="18" t="s">
        <v>1343</v>
      </c>
      <c r="B792" s="18" t="s">
        <v>1344</v>
      </c>
    </row>
    <row r="793" spans="1:2" ht="12.75" hidden="1">
      <c r="A793" s="18" t="s">
        <v>1345</v>
      </c>
      <c r="B793" s="18" t="s">
        <v>2312</v>
      </c>
    </row>
    <row r="794" spans="1:2" ht="12.75" hidden="1">
      <c r="A794" s="18" t="s">
        <v>1346</v>
      </c>
      <c r="B794" s="18" t="s">
        <v>2313</v>
      </c>
    </row>
    <row r="795" spans="1:2" ht="12.75" hidden="1">
      <c r="A795" s="18" t="s">
        <v>1347</v>
      </c>
      <c r="B795" s="18" t="s">
        <v>1348</v>
      </c>
    </row>
    <row r="796" spans="1:2" ht="12.75" hidden="1">
      <c r="A796" s="18" t="s">
        <v>1349</v>
      </c>
      <c r="B796" s="18" t="s">
        <v>1350</v>
      </c>
    </row>
    <row r="797" spans="1:2" ht="12.75" hidden="1">
      <c r="A797" s="18" t="s">
        <v>1351</v>
      </c>
      <c r="B797" s="18" t="s">
        <v>2314</v>
      </c>
    </row>
    <row r="798" spans="1:2" ht="12.75" hidden="1">
      <c r="A798" s="18" t="s">
        <v>1352</v>
      </c>
      <c r="B798" s="18" t="s">
        <v>1353</v>
      </c>
    </row>
    <row r="799" spans="1:2" ht="12.75" hidden="1">
      <c r="A799" s="18" t="s">
        <v>1354</v>
      </c>
      <c r="B799" s="18" t="s">
        <v>2315</v>
      </c>
    </row>
    <row r="800" spans="1:2" ht="12.75" hidden="1">
      <c r="A800" s="18" t="s">
        <v>1355</v>
      </c>
      <c r="B800" s="18" t="s">
        <v>1359</v>
      </c>
    </row>
    <row r="801" spans="1:2" ht="12.75" hidden="1">
      <c r="A801" s="18" t="s">
        <v>1360</v>
      </c>
      <c r="B801" s="18" t="s">
        <v>1361</v>
      </c>
    </row>
    <row r="802" spans="1:2" ht="12.75" hidden="1">
      <c r="A802" s="18" t="s">
        <v>1362</v>
      </c>
      <c r="B802" s="18" t="s">
        <v>1363</v>
      </c>
    </row>
    <row r="803" spans="1:2" ht="12.75" hidden="1">
      <c r="A803" s="18" t="s">
        <v>1364</v>
      </c>
      <c r="B803" s="18" t="s">
        <v>827</v>
      </c>
    </row>
    <row r="804" spans="1:2" ht="12.75" hidden="1">
      <c r="A804" s="18" t="s">
        <v>828</v>
      </c>
      <c r="B804" s="18" t="s">
        <v>2316</v>
      </c>
    </row>
    <row r="805" spans="1:2" ht="12.75" hidden="1">
      <c r="A805" s="18" t="s">
        <v>829</v>
      </c>
      <c r="B805" s="18" t="s">
        <v>2317</v>
      </c>
    </row>
    <row r="806" spans="1:2" ht="12.75" hidden="1">
      <c r="A806" s="18" t="s">
        <v>1558</v>
      </c>
      <c r="B806" s="18" t="s">
        <v>2318</v>
      </c>
    </row>
    <row r="807" spans="1:2" ht="12.75" hidden="1">
      <c r="A807" s="18" t="s">
        <v>66</v>
      </c>
      <c r="B807" s="18" t="s">
        <v>67</v>
      </c>
    </row>
    <row r="808" spans="1:2" ht="12.75" hidden="1">
      <c r="A808" s="18" t="s">
        <v>68</v>
      </c>
      <c r="B808" s="18" t="s">
        <v>2319</v>
      </c>
    </row>
    <row r="809" spans="1:2" ht="12.75" hidden="1">
      <c r="A809" s="18" t="s">
        <v>69</v>
      </c>
      <c r="B809" s="18" t="s">
        <v>70</v>
      </c>
    </row>
    <row r="810" spans="1:2" ht="12.75" hidden="1">
      <c r="A810" s="18" t="s">
        <v>71</v>
      </c>
      <c r="B810" s="18" t="s">
        <v>2320</v>
      </c>
    </row>
    <row r="811" spans="1:2" ht="12.75" hidden="1">
      <c r="A811" s="18" t="s">
        <v>72</v>
      </c>
      <c r="B811" s="18" t="s">
        <v>2197</v>
      </c>
    </row>
    <row r="812" spans="1:2" ht="12.75" hidden="1">
      <c r="A812" s="18" t="s">
        <v>116</v>
      </c>
      <c r="B812" s="18" t="s">
        <v>2321</v>
      </c>
    </row>
    <row r="813" spans="1:2" ht="12.75" hidden="1">
      <c r="A813" s="18" t="s">
        <v>1521</v>
      </c>
      <c r="B813" s="18" t="s">
        <v>2322</v>
      </c>
    </row>
    <row r="814" spans="1:2" ht="12.75" hidden="1">
      <c r="A814" s="18" t="s">
        <v>176</v>
      </c>
      <c r="B814" s="18" t="s">
        <v>1492</v>
      </c>
    </row>
    <row r="815" spans="1:2" ht="12.75" hidden="1">
      <c r="A815" s="18" t="s">
        <v>1493</v>
      </c>
      <c r="B815" s="18" t="s">
        <v>2323</v>
      </c>
    </row>
    <row r="816" spans="1:2" ht="12.75" hidden="1">
      <c r="A816" s="18" t="s">
        <v>1870</v>
      </c>
      <c r="B816" s="18" t="s">
        <v>2324</v>
      </c>
    </row>
    <row r="817" spans="1:2" ht="12.75" hidden="1">
      <c r="A817" s="18" t="s">
        <v>1366</v>
      </c>
      <c r="B817" s="18" t="s">
        <v>2730</v>
      </c>
    </row>
    <row r="818" spans="1:2" ht="12.75" hidden="1">
      <c r="A818" s="18" t="s">
        <v>2731</v>
      </c>
      <c r="B818" s="18" t="s">
        <v>2325</v>
      </c>
    </row>
    <row r="819" spans="1:2" ht="12.75" hidden="1">
      <c r="A819" s="18" t="s">
        <v>2732</v>
      </c>
      <c r="B819" s="18" t="s">
        <v>2326</v>
      </c>
    </row>
    <row r="820" spans="1:2" ht="12.75" hidden="1">
      <c r="A820" s="18" t="s">
        <v>2733</v>
      </c>
      <c r="B820" s="18" t="s">
        <v>2734</v>
      </c>
    </row>
    <row r="821" spans="1:2" ht="12.75" hidden="1">
      <c r="A821" s="18" t="s">
        <v>2735</v>
      </c>
      <c r="B821" s="18" t="s">
        <v>2736</v>
      </c>
    </row>
    <row r="822" spans="1:2" ht="12.75" hidden="1">
      <c r="A822" s="18" t="s">
        <v>2737</v>
      </c>
      <c r="B822" s="18" t="s">
        <v>589</v>
      </c>
    </row>
    <row r="823" spans="1:2" ht="12.75" hidden="1">
      <c r="A823" s="18" t="s">
        <v>2738</v>
      </c>
      <c r="B823" s="18" t="s">
        <v>860</v>
      </c>
    </row>
    <row r="824" spans="1:2" ht="12.75" hidden="1">
      <c r="A824" s="18" t="s">
        <v>861</v>
      </c>
      <c r="B824" s="18" t="s">
        <v>862</v>
      </c>
    </row>
    <row r="825" spans="1:2" ht="12.75" hidden="1">
      <c r="A825" s="18" t="s">
        <v>1126</v>
      </c>
      <c r="B825" s="18" t="s">
        <v>1127</v>
      </c>
    </row>
    <row r="826" spans="1:2" ht="12.75" hidden="1">
      <c r="A826" s="18" t="s">
        <v>1128</v>
      </c>
      <c r="B826" s="18" t="s">
        <v>1129</v>
      </c>
    </row>
    <row r="827" spans="1:2" ht="12.75" hidden="1">
      <c r="A827" s="18" t="s">
        <v>1130</v>
      </c>
      <c r="B827" s="18" t="s">
        <v>1131</v>
      </c>
    </row>
    <row r="828" spans="1:2" ht="12.75" hidden="1">
      <c r="A828" s="18" t="s">
        <v>1132</v>
      </c>
      <c r="B828" s="18" t="s">
        <v>590</v>
      </c>
    </row>
    <row r="829" spans="1:2" ht="12.75" hidden="1">
      <c r="A829" s="18" t="s">
        <v>1133</v>
      </c>
      <c r="B829" s="18" t="s">
        <v>1134</v>
      </c>
    </row>
    <row r="830" spans="1:2" ht="12.75" hidden="1">
      <c r="A830" s="18" t="s">
        <v>1135</v>
      </c>
      <c r="B830" s="18" t="s">
        <v>1014</v>
      </c>
    </row>
    <row r="831" spans="1:2" ht="12.75" hidden="1">
      <c r="A831" s="18" t="s">
        <v>1136</v>
      </c>
      <c r="B831" s="18" t="s">
        <v>1015</v>
      </c>
    </row>
    <row r="832" spans="1:2" ht="12.75" hidden="1">
      <c r="A832" s="18" t="s">
        <v>1137</v>
      </c>
      <c r="B832" s="18" t="s">
        <v>1016</v>
      </c>
    </row>
    <row r="833" spans="1:2" ht="12.75" hidden="1">
      <c r="A833" s="18" t="s">
        <v>1138</v>
      </c>
      <c r="B833" s="18" t="s">
        <v>1139</v>
      </c>
    </row>
    <row r="834" spans="1:2" ht="12.75" hidden="1">
      <c r="A834" s="18" t="s">
        <v>1140</v>
      </c>
      <c r="B834" s="18" t="s">
        <v>1141</v>
      </c>
    </row>
    <row r="835" spans="1:2" ht="12.75" hidden="1">
      <c r="A835" s="18" t="s">
        <v>1142</v>
      </c>
      <c r="B835" s="18" t="s">
        <v>1143</v>
      </c>
    </row>
    <row r="836" spans="1:2" ht="12.75" hidden="1">
      <c r="A836" s="18" t="s">
        <v>1144</v>
      </c>
      <c r="B836" s="18" t="s">
        <v>954</v>
      </c>
    </row>
    <row r="837" spans="1:2" ht="12.75" hidden="1">
      <c r="A837" s="18" t="s">
        <v>955</v>
      </c>
      <c r="B837" s="18" t="s">
        <v>956</v>
      </c>
    </row>
    <row r="838" spans="1:2" ht="12.75" hidden="1">
      <c r="A838" s="18" t="s">
        <v>957</v>
      </c>
      <c r="B838" s="18" t="s">
        <v>1017</v>
      </c>
    </row>
    <row r="839" spans="1:2" ht="12.75" hidden="1">
      <c r="A839" s="18" t="s">
        <v>958</v>
      </c>
      <c r="B839" s="18" t="s">
        <v>1470</v>
      </c>
    </row>
    <row r="840" spans="1:2" ht="12.75" hidden="1">
      <c r="A840" s="18" t="s">
        <v>1471</v>
      </c>
      <c r="B840" s="18" t="s">
        <v>1472</v>
      </c>
    </row>
    <row r="841" spans="1:2" ht="12.75" hidden="1">
      <c r="A841" s="18" t="s">
        <v>1473</v>
      </c>
      <c r="B841" s="18" t="s">
        <v>1018</v>
      </c>
    </row>
    <row r="842" spans="1:2" ht="12.75" hidden="1">
      <c r="A842" s="18" t="s">
        <v>1474</v>
      </c>
      <c r="B842" s="18" t="s">
        <v>1019</v>
      </c>
    </row>
    <row r="843" spans="1:2" ht="12.75" hidden="1">
      <c r="A843" s="18" t="s">
        <v>1475</v>
      </c>
      <c r="B843" s="18" t="s">
        <v>1020</v>
      </c>
    </row>
    <row r="844" spans="1:2" ht="12.75" hidden="1">
      <c r="A844" s="18" t="s">
        <v>1901</v>
      </c>
      <c r="B844" s="18" t="s">
        <v>1902</v>
      </c>
    </row>
    <row r="845" spans="1:2" ht="12.75" hidden="1">
      <c r="A845" s="18" t="s">
        <v>1903</v>
      </c>
      <c r="B845" s="18" t="s">
        <v>1187</v>
      </c>
    </row>
    <row r="846" spans="1:2" ht="12.75" hidden="1">
      <c r="A846" s="18" t="s">
        <v>1188</v>
      </c>
      <c r="B846" s="18" t="s">
        <v>1021</v>
      </c>
    </row>
    <row r="847" spans="1:2" ht="12.75" hidden="1">
      <c r="A847" s="18" t="s">
        <v>1637</v>
      </c>
      <c r="B847" s="18" t="s">
        <v>1638</v>
      </c>
    </row>
    <row r="848" spans="1:2" ht="12.75" hidden="1">
      <c r="A848" s="18" t="s">
        <v>1639</v>
      </c>
      <c r="B848" s="18" t="s">
        <v>1022</v>
      </c>
    </row>
    <row r="849" spans="1:2" ht="12.75" hidden="1">
      <c r="A849" s="18" t="s">
        <v>1640</v>
      </c>
      <c r="B849" s="18" t="s">
        <v>2182</v>
      </c>
    </row>
    <row r="850" spans="1:2" ht="12.75" hidden="1">
      <c r="A850" s="18" t="s">
        <v>2183</v>
      </c>
      <c r="B850" s="18" t="s">
        <v>1023</v>
      </c>
    </row>
    <row r="851" spans="1:2" ht="12.75" hidden="1">
      <c r="A851" s="18" t="s">
        <v>2184</v>
      </c>
      <c r="B851" s="18" t="s">
        <v>1236</v>
      </c>
    </row>
    <row r="852" spans="1:2" ht="12.75" hidden="1">
      <c r="A852" s="18" t="s">
        <v>1237</v>
      </c>
      <c r="B852" s="18" t="s">
        <v>1238</v>
      </c>
    </row>
    <row r="853" spans="1:2" ht="12.75" hidden="1">
      <c r="A853" s="18" t="s">
        <v>1239</v>
      </c>
      <c r="B853" s="18" t="s">
        <v>1024</v>
      </c>
    </row>
    <row r="854" spans="1:2" ht="12.75" hidden="1">
      <c r="A854" s="18" t="s">
        <v>1240</v>
      </c>
      <c r="B854" s="18" t="s">
        <v>1025</v>
      </c>
    </row>
    <row r="855" spans="1:2" ht="12.75" hidden="1">
      <c r="A855" s="18" t="s">
        <v>1241</v>
      </c>
      <c r="B855" s="18" t="s">
        <v>1026</v>
      </c>
    </row>
    <row r="856" spans="1:2" ht="12.75" hidden="1">
      <c r="A856" s="18" t="s">
        <v>1242</v>
      </c>
      <c r="B856" s="18" t="s">
        <v>1243</v>
      </c>
    </row>
    <row r="857" spans="1:2" ht="12.75" hidden="1">
      <c r="A857" s="18" t="s">
        <v>1244</v>
      </c>
      <c r="B857" s="18" t="s">
        <v>1027</v>
      </c>
    </row>
    <row r="858" spans="1:2" ht="12.75" hidden="1">
      <c r="A858" s="18" t="s">
        <v>1088</v>
      </c>
      <c r="B858" s="18" t="s">
        <v>897</v>
      </c>
    </row>
    <row r="859" spans="1:2" ht="12.75" hidden="1">
      <c r="A859" s="18" t="s">
        <v>898</v>
      </c>
      <c r="B859" s="18" t="s">
        <v>899</v>
      </c>
    </row>
    <row r="860" spans="1:2" ht="12.75" hidden="1">
      <c r="A860" s="18" t="s">
        <v>900</v>
      </c>
      <c r="B860" s="18" t="s">
        <v>901</v>
      </c>
    </row>
    <row r="861" spans="1:2" ht="12.75" hidden="1">
      <c r="A861" s="18" t="s">
        <v>902</v>
      </c>
      <c r="B861" s="18" t="s">
        <v>254</v>
      </c>
    </row>
    <row r="862" spans="1:2" ht="12.75" hidden="1">
      <c r="A862" s="18" t="s">
        <v>255</v>
      </c>
      <c r="B862" s="18" t="s">
        <v>256</v>
      </c>
    </row>
    <row r="863" spans="1:2" ht="12.75" hidden="1">
      <c r="A863" s="18" t="s">
        <v>257</v>
      </c>
      <c r="B863" s="18" t="s">
        <v>258</v>
      </c>
    </row>
    <row r="864" spans="1:2" ht="12.75" hidden="1">
      <c r="A864" s="18" t="s">
        <v>259</v>
      </c>
      <c r="B864" s="18" t="s">
        <v>1028</v>
      </c>
    </row>
    <row r="865" spans="1:2" ht="12.75" hidden="1">
      <c r="A865" s="18" t="s">
        <v>260</v>
      </c>
      <c r="B865" s="18" t="s">
        <v>261</v>
      </c>
    </row>
    <row r="866" spans="1:2" ht="12.75" hidden="1">
      <c r="A866" s="18" t="s">
        <v>262</v>
      </c>
      <c r="B866" s="18" t="s">
        <v>263</v>
      </c>
    </row>
    <row r="867" spans="1:2" ht="12.75" hidden="1">
      <c r="A867" s="18" t="s">
        <v>264</v>
      </c>
      <c r="B867" s="18" t="s">
        <v>1029</v>
      </c>
    </row>
    <row r="868" spans="1:2" ht="12.75" hidden="1">
      <c r="A868" s="18" t="s">
        <v>265</v>
      </c>
      <c r="B868" s="18" t="s">
        <v>1030</v>
      </c>
    </row>
    <row r="869" spans="1:2" ht="12.75" hidden="1">
      <c r="A869" s="18" t="s">
        <v>266</v>
      </c>
      <c r="B869" s="18" t="s">
        <v>267</v>
      </c>
    </row>
    <row r="870" spans="1:2" ht="12.75" hidden="1">
      <c r="A870" s="18" t="s">
        <v>268</v>
      </c>
      <c r="B870" s="18" t="s">
        <v>1031</v>
      </c>
    </row>
    <row r="871" spans="1:2" ht="12.75" hidden="1">
      <c r="A871" s="18" t="s">
        <v>269</v>
      </c>
      <c r="B871" s="18" t="s">
        <v>1032</v>
      </c>
    </row>
    <row r="872" spans="1:2" ht="12.75" hidden="1">
      <c r="A872" s="18" t="s">
        <v>270</v>
      </c>
      <c r="B872" s="18" t="s">
        <v>1033</v>
      </c>
    </row>
    <row r="873" spans="1:2" ht="12.75" hidden="1">
      <c r="A873" s="18" t="s">
        <v>618</v>
      </c>
      <c r="B873" s="18" t="s">
        <v>1034</v>
      </c>
    </row>
    <row r="874" spans="1:2" ht="12.75" hidden="1">
      <c r="A874" s="18" t="s">
        <v>619</v>
      </c>
      <c r="B874" s="18" t="s">
        <v>1035</v>
      </c>
    </row>
    <row r="875" spans="1:2" ht="12.75" hidden="1">
      <c r="A875" s="18" t="s">
        <v>620</v>
      </c>
      <c r="B875" s="18" t="s">
        <v>1036</v>
      </c>
    </row>
    <row r="876" spans="1:2" ht="12.75" hidden="1">
      <c r="A876" s="18" t="s">
        <v>1145</v>
      </c>
      <c r="B876" s="18" t="s">
        <v>1266</v>
      </c>
    </row>
    <row r="877" spans="1:2" ht="12.75" hidden="1">
      <c r="A877" s="18" t="s">
        <v>1267</v>
      </c>
      <c r="B877" s="18" t="s">
        <v>1268</v>
      </c>
    </row>
    <row r="878" spans="1:2" ht="12.75" hidden="1">
      <c r="A878" s="18" t="s">
        <v>1269</v>
      </c>
      <c r="B878" s="18" t="s">
        <v>1270</v>
      </c>
    </row>
    <row r="879" spans="1:2" ht="12.75" hidden="1">
      <c r="A879" s="18" t="s">
        <v>1271</v>
      </c>
      <c r="B879" s="18" t="s">
        <v>804</v>
      </c>
    </row>
    <row r="880" spans="1:2" ht="12.75" hidden="1">
      <c r="A880" s="18" t="s">
        <v>1272</v>
      </c>
      <c r="B880" s="18" t="s">
        <v>1273</v>
      </c>
    </row>
    <row r="881" spans="1:2" ht="12.75" hidden="1">
      <c r="A881" s="18" t="s">
        <v>1274</v>
      </c>
      <c r="B881" s="18" t="s">
        <v>805</v>
      </c>
    </row>
    <row r="882" spans="1:2" ht="12.75" hidden="1">
      <c r="A882" s="18" t="s">
        <v>1275</v>
      </c>
      <c r="B882" s="18" t="s">
        <v>2059</v>
      </c>
    </row>
    <row r="883" spans="1:2" ht="12.75" hidden="1">
      <c r="A883" s="18" t="s">
        <v>2060</v>
      </c>
      <c r="B883" s="18" t="s">
        <v>806</v>
      </c>
    </row>
    <row r="884" spans="1:2" ht="12.75" hidden="1">
      <c r="A884" s="18" t="s">
        <v>1356</v>
      </c>
      <c r="B884" s="18" t="s">
        <v>1440</v>
      </c>
    </row>
    <row r="885" spans="1:2" ht="12.75" hidden="1">
      <c r="A885" s="18" t="s">
        <v>1441</v>
      </c>
      <c r="B885" s="18" t="s">
        <v>807</v>
      </c>
    </row>
    <row r="886" spans="1:2" ht="12.75" hidden="1">
      <c r="A886" s="18" t="s">
        <v>1442</v>
      </c>
      <c r="B886" s="18" t="s">
        <v>1443</v>
      </c>
    </row>
    <row r="887" spans="1:2" ht="12.75" hidden="1">
      <c r="A887" s="18" t="s">
        <v>1444</v>
      </c>
      <c r="B887" s="18" t="s">
        <v>808</v>
      </c>
    </row>
    <row r="888" spans="1:2" ht="12.75" hidden="1">
      <c r="A888" s="18" t="s">
        <v>159</v>
      </c>
      <c r="B888" s="18" t="s">
        <v>809</v>
      </c>
    </row>
    <row r="889" spans="1:2" ht="12.75" hidden="1">
      <c r="A889" s="18" t="s">
        <v>160</v>
      </c>
      <c r="B889" s="18" t="s">
        <v>161</v>
      </c>
    </row>
    <row r="890" spans="1:2" ht="12.75" hidden="1">
      <c r="A890" s="18" t="s">
        <v>162</v>
      </c>
      <c r="B890" s="18" t="s">
        <v>163</v>
      </c>
    </row>
    <row r="891" spans="1:2" ht="12.75" hidden="1">
      <c r="A891" s="18" t="s">
        <v>164</v>
      </c>
      <c r="B891" s="18" t="s">
        <v>165</v>
      </c>
    </row>
    <row r="892" spans="1:2" ht="12.75" hidden="1">
      <c r="A892" s="18" t="s">
        <v>166</v>
      </c>
      <c r="B892" s="18" t="s">
        <v>2602</v>
      </c>
    </row>
    <row r="893" spans="1:2" ht="12.75" hidden="1">
      <c r="A893" s="18" t="s">
        <v>2603</v>
      </c>
      <c r="B893" s="18" t="s">
        <v>810</v>
      </c>
    </row>
    <row r="894" spans="1:2" ht="12.75" hidden="1">
      <c r="A894" s="18" t="s">
        <v>2604</v>
      </c>
      <c r="B894" s="18" t="s">
        <v>2605</v>
      </c>
    </row>
    <row r="895" spans="1:2" ht="12.75" hidden="1">
      <c r="A895" s="18" t="s">
        <v>675</v>
      </c>
      <c r="B895" s="18" t="s">
        <v>1105</v>
      </c>
    </row>
    <row r="896" spans="1:2" ht="12.75" hidden="1">
      <c r="A896" s="18" t="s">
        <v>1106</v>
      </c>
      <c r="B896" s="18" t="s">
        <v>2567</v>
      </c>
    </row>
    <row r="897" spans="1:2" ht="12.75" hidden="1">
      <c r="A897" s="18" t="s">
        <v>1107</v>
      </c>
      <c r="B897" s="18" t="s">
        <v>2568</v>
      </c>
    </row>
    <row r="898" spans="1:2" ht="12.75" hidden="1">
      <c r="A898" s="18" t="s">
        <v>1933</v>
      </c>
      <c r="B898" s="18" t="s">
        <v>143</v>
      </c>
    </row>
    <row r="899" spans="1:2" ht="12.75" hidden="1">
      <c r="A899" s="18" t="s">
        <v>144</v>
      </c>
      <c r="B899" s="18" t="s">
        <v>2569</v>
      </c>
    </row>
    <row r="900" spans="1:2" ht="12.75" hidden="1">
      <c r="A900" s="18" t="s">
        <v>145</v>
      </c>
      <c r="B900" s="18" t="s">
        <v>2570</v>
      </c>
    </row>
    <row r="901" spans="1:2" ht="12.75" hidden="1">
      <c r="A901" s="18" t="s">
        <v>146</v>
      </c>
      <c r="B901" s="18" t="s">
        <v>2571</v>
      </c>
    </row>
    <row r="902" spans="1:2" ht="12.75" hidden="1">
      <c r="A902" s="18" t="s">
        <v>147</v>
      </c>
      <c r="B902" s="18" t="s">
        <v>148</v>
      </c>
    </row>
    <row r="903" spans="1:2" ht="12.75" hidden="1">
      <c r="A903" s="18" t="s">
        <v>149</v>
      </c>
      <c r="B903" s="18" t="s">
        <v>150</v>
      </c>
    </row>
    <row r="904" spans="1:2" ht="12.75" hidden="1">
      <c r="A904" s="18" t="s">
        <v>151</v>
      </c>
      <c r="B904" s="18" t="s">
        <v>2572</v>
      </c>
    </row>
    <row r="905" spans="1:2" ht="12.75" hidden="1">
      <c r="A905" s="18" t="s">
        <v>152</v>
      </c>
      <c r="B905" s="18" t="s">
        <v>2573</v>
      </c>
    </row>
    <row r="906" spans="1:2" ht="12.75" hidden="1">
      <c r="A906" s="18" t="s">
        <v>974</v>
      </c>
      <c r="B906" s="18" t="s">
        <v>495</v>
      </c>
    </row>
    <row r="907" spans="1:2" ht="12.75" hidden="1">
      <c r="A907" s="18" t="s">
        <v>496</v>
      </c>
      <c r="B907" s="18" t="s">
        <v>497</v>
      </c>
    </row>
    <row r="908" spans="1:2" ht="12.75" hidden="1">
      <c r="A908" s="18" t="s">
        <v>498</v>
      </c>
      <c r="B908" s="18" t="s">
        <v>499</v>
      </c>
    </row>
    <row r="909" spans="1:2" ht="12.75" hidden="1">
      <c r="A909" s="18" t="s">
        <v>500</v>
      </c>
      <c r="B909" s="18" t="s">
        <v>2574</v>
      </c>
    </row>
    <row r="910" spans="1:2" ht="12.75" hidden="1">
      <c r="A910" s="18" t="s">
        <v>501</v>
      </c>
      <c r="B910" s="18" t="s">
        <v>502</v>
      </c>
    </row>
    <row r="911" spans="1:2" ht="12.75" hidden="1">
      <c r="A911" s="18" t="s">
        <v>503</v>
      </c>
      <c r="B911" s="18" t="s">
        <v>504</v>
      </c>
    </row>
    <row r="912" spans="1:2" ht="12.75" hidden="1">
      <c r="A912" s="18" t="s">
        <v>505</v>
      </c>
      <c r="B912" s="18" t="s">
        <v>2575</v>
      </c>
    </row>
    <row r="913" spans="1:2" ht="12.75" hidden="1">
      <c r="A913" s="18" t="s">
        <v>506</v>
      </c>
      <c r="B913" s="18" t="s">
        <v>2576</v>
      </c>
    </row>
    <row r="914" spans="1:2" ht="12.75" hidden="1">
      <c r="A914" s="18" t="s">
        <v>218</v>
      </c>
      <c r="B914" s="18" t="s">
        <v>219</v>
      </c>
    </row>
    <row r="915" spans="1:2" ht="12.75" hidden="1">
      <c r="A915" s="18" t="s">
        <v>220</v>
      </c>
      <c r="B915" s="18" t="s">
        <v>221</v>
      </c>
    </row>
    <row r="916" spans="1:2" ht="12.75" hidden="1">
      <c r="A916" s="18" t="s">
        <v>222</v>
      </c>
      <c r="B916" s="18" t="s">
        <v>223</v>
      </c>
    </row>
    <row r="917" spans="1:2" ht="12.75" hidden="1">
      <c r="A917" s="18" t="s">
        <v>224</v>
      </c>
      <c r="B917" s="18" t="s">
        <v>225</v>
      </c>
    </row>
    <row r="918" spans="1:2" ht="12.75" hidden="1">
      <c r="A918" s="18" t="s">
        <v>226</v>
      </c>
      <c r="B918" s="18" t="s">
        <v>227</v>
      </c>
    </row>
    <row r="919" spans="1:2" ht="12.75" hidden="1">
      <c r="A919" s="18" t="s">
        <v>228</v>
      </c>
      <c r="B919" s="18" t="s">
        <v>229</v>
      </c>
    </row>
    <row r="920" spans="1:2" ht="12.75" hidden="1">
      <c r="A920" s="18" t="s">
        <v>230</v>
      </c>
      <c r="B920" s="18" t="s">
        <v>231</v>
      </c>
    </row>
    <row r="921" spans="1:2" ht="12.75" hidden="1">
      <c r="A921" s="18" t="s">
        <v>232</v>
      </c>
      <c r="B921" s="18" t="s">
        <v>233</v>
      </c>
    </row>
    <row r="922" spans="1:2" ht="12.75" hidden="1">
      <c r="A922" s="18" t="s">
        <v>234</v>
      </c>
      <c r="B922" s="18" t="s">
        <v>235</v>
      </c>
    </row>
    <row r="923" spans="1:2" ht="12.75" hidden="1">
      <c r="A923" s="18" t="s">
        <v>236</v>
      </c>
      <c r="B923" s="18" t="s">
        <v>811</v>
      </c>
    </row>
    <row r="924" spans="1:2" ht="12.75" hidden="1">
      <c r="A924" s="18" t="s">
        <v>812</v>
      </c>
      <c r="B924" s="18" t="s">
        <v>813</v>
      </c>
    </row>
    <row r="925" spans="1:2" ht="12.75" hidden="1">
      <c r="A925" s="18" t="s">
        <v>814</v>
      </c>
      <c r="B925" s="18" t="s">
        <v>815</v>
      </c>
    </row>
    <row r="926" spans="1:2" ht="12.75" hidden="1">
      <c r="A926" s="18" t="s">
        <v>816</v>
      </c>
      <c r="B926" s="18" t="s">
        <v>1108</v>
      </c>
    </row>
    <row r="927" spans="1:2" ht="12.75" hidden="1">
      <c r="A927" s="18" t="s">
        <v>1109</v>
      </c>
      <c r="B927" s="18" t="s">
        <v>1110</v>
      </c>
    </row>
    <row r="928" spans="1:2" ht="12.75" hidden="1">
      <c r="A928" s="18" t="s">
        <v>1111</v>
      </c>
      <c r="B928" s="18" t="s">
        <v>415</v>
      </c>
    </row>
    <row r="929" spans="1:2" ht="12.75" hidden="1">
      <c r="A929" s="18" t="s">
        <v>416</v>
      </c>
      <c r="B929" s="18" t="s">
        <v>2577</v>
      </c>
    </row>
    <row r="930" spans="1:2" ht="12.75" hidden="1">
      <c r="A930" s="18" t="s">
        <v>417</v>
      </c>
      <c r="B930" s="18" t="s">
        <v>418</v>
      </c>
    </row>
    <row r="931" spans="1:2" ht="12.75" hidden="1">
      <c r="A931" s="18" t="s">
        <v>419</v>
      </c>
      <c r="B931" s="18" t="s">
        <v>2578</v>
      </c>
    </row>
    <row r="932" spans="1:2" ht="12.75" hidden="1">
      <c r="A932" s="18" t="s">
        <v>420</v>
      </c>
      <c r="B932" s="18" t="s">
        <v>2579</v>
      </c>
    </row>
    <row r="933" spans="1:2" ht="12.75" hidden="1">
      <c r="A933" s="18" t="s">
        <v>421</v>
      </c>
      <c r="B933" s="18" t="s">
        <v>2580</v>
      </c>
    </row>
    <row r="934" spans="1:2" ht="12.75" hidden="1">
      <c r="A934" s="18" t="s">
        <v>2113</v>
      </c>
      <c r="B934" s="18" t="s">
        <v>2114</v>
      </c>
    </row>
    <row r="935" spans="1:2" ht="12.75" hidden="1">
      <c r="A935" s="18" t="s">
        <v>2115</v>
      </c>
      <c r="B935" s="18" t="s">
        <v>2581</v>
      </c>
    </row>
    <row r="936" spans="1:2" ht="12.75" hidden="1">
      <c r="A936" s="18" t="s">
        <v>2722</v>
      </c>
      <c r="B936" s="18" t="s">
        <v>2723</v>
      </c>
    </row>
    <row r="937" spans="1:2" ht="12.75" hidden="1">
      <c r="A937" s="18" t="s">
        <v>2724</v>
      </c>
      <c r="B937" s="18" t="s">
        <v>2294</v>
      </c>
    </row>
    <row r="938" spans="1:2" ht="12.75" hidden="1">
      <c r="A938" s="18" t="s">
        <v>2295</v>
      </c>
      <c r="B938" s="18" t="s">
        <v>104</v>
      </c>
    </row>
    <row r="939" spans="1:2" ht="12.75" hidden="1">
      <c r="A939" s="18" t="s">
        <v>105</v>
      </c>
      <c r="B939" s="18" t="s">
        <v>106</v>
      </c>
    </row>
    <row r="940" spans="1:2" ht="12.75" hidden="1">
      <c r="A940" s="18" t="s">
        <v>107</v>
      </c>
      <c r="B940" s="18" t="s">
        <v>108</v>
      </c>
    </row>
    <row r="941" spans="1:2" ht="12.75" hidden="1">
      <c r="A941" s="18" t="s">
        <v>109</v>
      </c>
      <c r="B941" s="18" t="s">
        <v>2582</v>
      </c>
    </row>
    <row r="942" spans="1:2" ht="12.75" hidden="1">
      <c r="A942" s="18" t="s">
        <v>422</v>
      </c>
      <c r="B942" s="18" t="s">
        <v>423</v>
      </c>
    </row>
    <row r="943" spans="1:2" ht="12.75" hidden="1">
      <c r="A943" s="18" t="s">
        <v>424</v>
      </c>
      <c r="B943" s="18" t="s">
        <v>2583</v>
      </c>
    </row>
    <row r="944" spans="1:2" ht="12.75" hidden="1">
      <c r="A944" s="18" t="s">
        <v>1912</v>
      </c>
      <c r="B944" s="18" t="s">
        <v>1913</v>
      </c>
    </row>
    <row r="945" spans="1:2" ht="12.75" hidden="1">
      <c r="A945" s="18" t="s">
        <v>1914</v>
      </c>
      <c r="B945" s="18" t="s">
        <v>2584</v>
      </c>
    </row>
    <row r="946" spans="1:2" ht="12.75" hidden="1">
      <c r="A946" s="18" t="s">
        <v>1915</v>
      </c>
      <c r="B946" s="18" t="s">
        <v>1916</v>
      </c>
    </row>
    <row r="947" spans="1:2" ht="12.75" hidden="1">
      <c r="A947" s="18" t="s">
        <v>1917</v>
      </c>
      <c r="B947" s="18" t="s">
        <v>1918</v>
      </c>
    </row>
    <row r="948" spans="1:2" ht="12.75" hidden="1">
      <c r="A948" s="18" t="s">
        <v>1919</v>
      </c>
      <c r="B948" s="18" t="s">
        <v>1920</v>
      </c>
    </row>
    <row r="949" spans="1:2" ht="12.75" hidden="1">
      <c r="A949" s="18" t="s">
        <v>1921</v>
      </c>
      <c r="B949" s="18" t="s">
        <v>271</v>
      </c>
    </row>
    <row r="950" spans="1:2" ht="12.75" hidden="1">
      <c r="A950" s="18" t="s">
        <v>272</v>
      </c>
      <c r="B950" s="18" t="s">
        <v>2585</v>
      </c>
    </row>
    <row r="951" spans="1:2" ht="12.75" hidden="1">
      <c r="A951" s="18" t="s">
        <v>273</v>
      </c>
      <c r="B951" s="18" t="s">
        <v>2586</v>
      </c>
    </row>
    <row r="952" spans="1:2" ht="12.75" hidden="1">
      <c r="A952" s="18" t="s">
        <v>274</v>
      </c>
      <c r="B952" s="18" t="s">
        <v>275</v>
      </c>
    </row>
    <row r="953" spans="1:2" ht="12.75" hidden="1">
      <c r="A953" s="18" t="s">
        <v>670</v>
      </c>
      <c r="B953" s="18" t="s">
        <v>2587</v>
      </c>
    </row>
    <row r="954" spans="1:2" ht="12.75" hidden="1">
      <c r="A954" s="18" t="s">
        <v>671</v>
      </c>
      <c r="B954" s="18" t="s">
        <v>2588</v>
      </c>
    </row>
    <row r="955" spans="1:2" ht="12.75" hidden="1">
      <c r="A955" s="18" t="s">
        <v>2191</v>
      </c>
      <c r="B955" s="18" t="s">
        <v>2192</v>
      </c>
    </row>
    <row r="956" spans="1:2" ht="12.75" hidden="1">
      <c r="A956" s="18" t="s">
        <v>2193</v>
      </c>
      <c r="B956" s="18" t="s">
        <v>2589</v>
      </c>
    </row>
    <row r="957" spans="1:2" ht="12.75" hidden="1">
      <c r="A957" s="18" t="s">
        <v>2194</v>
      </c>
      <c r="B957" s="18" t="s">
        <v>2590</v>
      </c>
    </row>
    <row r="958" spans="1:2" ht="12.75" hidden="1">
      <c r="A958" s="18" t="s">
        <v>2195</v>
      </c>
      <c r="B958" s="18" t="s">
        <v>2196</v>
      </c>
    </row>
    <row r="959" spans="1:2" ht="12.75" hidden="1">
      <c r="A959" s="18" t="s">
        <v>409</v>
      </c>
      <c r="B959" s="18" t="s">
        <v>410</v>
      </c>
    </row>
    <row r="960" spans="1:2" ht="12.75" hidden="1">
      <c r="A960" s="18" t="s">
        <v>734</v>
      </c>
      <c r="B960" s="18" t="s">
        <v>2591</v>
      </c>
    </row>
    <row r="961" spans="1:2" ht="12.75" hidden="1">
      <c r="A961" s="18" t="s">
        <v>735</v>
      </c>
      <c r="B961" s="18" t="s">
        <v>2592</v>
      </c>
    </row>
    <row r="962" spans="1:2" ht="12.75" hidden="1">
      <c r="A962" s="18" t="s">
        <v>2414</v>
      </c>
      <c r="B962" s="18" t="s">
        <v>2593</v>
      </c>
    </row>
    <row r="963" spans="1:2" ht="12.75" hidden="1">
      <c r="A963" s="18" t="s">
        <v>839</v>
      </c>
      <c r="B963" s="18" t="s">
        <v>2594</v>
      </c>
    </row>
    <row r="964" spans="1:2" ht="12.75" hidden="1">
      <c r="A964" s="18" t="s">
        <v>840</v>
      </c>
      <c r="B964" s="18" t="s">
        <v>2595</v>
      </c>
    </row>
    <row r="965" spans="1:2" ht="12.75" hidden="1">
      <c r="A965" s="18" t="s">
        <v>841</v>
      </c>
      <c r="B965" s="18" t="s">
        <v>842</v>
      </c>
    </row>
    <row r="966" spans="1:2" ht="12.75" hidden="1">
      <c r="A966" s="18" t="s">
        <v>843</v>
      </c>
      <c r="B966" s="18" t="s">
        <v>2596</v>
      </c>
    </row>
    <row r="967" spans="1:2" ht="12.75" hidden="1">
      <c r="A967" s="18" t="s">
        <v>844</v>
      </c>
      <c r="B967" s="18" t="s">
        <v>2597</v>
      </c>
    </row>
    <row r="968" spans="1:2" ht="12.75" hidden="1">
      <c r="A968" s="18" t="s">
        <v>845</v>
      </c>
      <c r="B968" s="18" t="s">
        <v>846</v>
      </c>
    </row>
    <row r="969" spans="1:2" ht="12.75" hidden="1">
      <c r="A969" s="18" t="s">
        <v>847</v>
      </c>
      <c r="B969" s="18" t="s">
        <v>848</v>
      </c>
    </row>
    <row r="970" spans="1:2" ht="12.75" hidden="1">
      <c r="A970" s="18" t="s">
        <v>849</v>
      </c>
      <c r="B970" s="18" t="s">
        <v>2598</v>
      </c>
    </row>
    <row r="971" spans="1:2" ht="12.75" hidden="1">
      <c r="A971" s="18" t="s">
        <v>850</v>
      </c>
      <c r="B971" s="18" t="s">
        <v>851</v>
      </c>
    </row>
    <row r="972" spans="1:2" ht="12.75" hidden="1">
      <c r="A972" s="18" t="s">
        <v>852</v>
      </c>
      <c r="B972" s="18" t="s">
        <v>2599</v>
      </c>
    </row>
    <row r="973" spans="1:2" ht="12.75" hidden="1">
      <c r="A973" s="18" t="s">
        <v>853</v>
      </c>
      <c r="B973" s="18" t="s">
        <v>2600</v>
      </c>
    </row>
    <row r="974" spans="1:2" ht="12.75" hidden="1">
      <c r="A974" s="18" t="s">
        <v>931</v>
      </c>
      <c r="B974" s="18" t="s">
        <v>932</v>
      </c>
    </row>
    <row r="975" spans="1:2" ht="12.75" hidden="1">
      <c r="A975" s="18" t="s">
        <v>933</v>
      </c>
      <c r="B975" s="18" t="s">
        <v>2601</v>
      </c>
    </row>
    <row r="976" spans="1:2" ht="12.75" hidden="1">
      <c r="A976" s="18" t="s">
        <v>934</v>
      </c>
      <c r="B976" s="18" t="s">
        <v>2054</v>
      </c>
    </row>
    <row r="977" spans="1:2" ht="12.75" hidden="1">
      <c r="A977" s="18" t="s">
        <v>935</v>
      </c>
      <c r="B977" s="18" t="s">
        <v>2055</v>
      </c>
    </row>
    <row r="978" spans="1:2" ht="12.75" hidden="1">
      <c r="A978" s="18" t="s">
        <v>414</v>
      </c>
      <c r="B978" s="18" t="s">
        <v>2696</v>
      </c>
    </row>
    <row r="979" spans="1:2" ht="12.75" hidden="1">
      <c r="A979" s="18" t="s">
        <v>2697</v>
      </c>
      <c r="B979" s="18" t="s">
        <v>427</v>
      </c>
    </row>
    <row r="980" spans="1:2" ht="12.75" hidden="1">
      <c r="A980" s="18" t="s">
        <v>428</v>
      </c>
      <c r="B980" s="18" t="s">
        <v>429</v>
      </c>
    </row>
    <row r="981" spans="1:2" ht="12.75" hidden="1">
      <c r="A981" s="18" t="s">
        <v>430</v>
      </c>
      <c r="B981" s="18" t="s">
        <v>2056</v>
      </c>
    </row>
    <row r="982" spans="1:2" ht="12.75" hidden="1">
      <c r="A982" s="18" t="s">
        <v>431</v>
      </c>
      <c r="B982" s="18" t="s">
        <v>2057</v>
      </c>
    </row>
    <row r="983" spans="1:2" ht="12.75" hidden="1">
      <c r="A983" s="18" t="s">
        <v>2698</v>
      </c>
      <c r="B983" s="18" t="s">
        <v>2058</v>
      </c>
    </row>
    <row r="984" spans="1:2" ht="12.75" hidden="1">
      <c r="A984" s="18" t="s">
        <v>2699</v>
      </c>
      <c r="B984" s="18" t="s">
        <v>602</v>
      </c>
    </row>
    <row r="985" spans="1:2" ht="12.75" hidden="1">
      <c r="A985" s="18" t="s">
        <v>2700</v>
      </c>
      <c r="B985" s="18" t="s">
        <v>2701</v>
      </c>
    </row>
    <row r="986" spans="1:2" ht="12.75" hidden="1">
      <c r="A986" s="18" t="s">
        <v>2702</v>
      </c>
      <c r="B986" s="18" t="s">
        <v>603</v>
      </c>
    </row>
    <row r="987" spans="1:2" ht="12.75" hidden="1">
      <c r="A987" s="18" t="s">
        <v>2703</v>
      </c>
      <c r="B987" s="18" t="s">
        <v>2704</v>
      </c>
    </row>
    <row r="988" spans="1:2" ht="12.75" hidden="1">
      <c r="A988" s="18" t="s">
        <v>2274</v>
      </c>
      <c r="B988" s="18" t="s">
        <v>604</v>
      </c>
    </row>
    <row r="989" spans="1:2" ht="12.75" hidden="1">
      <c r="A989" s="18" t="s">
        <v>2275</v>
      </c>
      <c r="B989" s="18" t="s">
        <v>605</v>
      </c>
    </row>
    <row r="990" spans="1:2" ht="12.75" hidden="1">
      <c r="A990" s="18" t="s">
        <v>2276</v>
      </c>
      <c r="B990" s="18" t="s">
        <v>2541</v>
      </c>
    </row>
    <row r="991" spans="1:2" ht="12.75" hidden="1">
      <c r="A991" s="18" t="s">
        <v>2277</v>
      </c>
      <c r="B991" s="18" t="s">
        <v>2278</v>
      </c>
    </row>
    <row r="992" spans="1:2" ht="12.75" hidden="1">
      <c r="A992" s="18" t="s">
        <v>2279</v>
      </c>
      <c r="B992" s="18" t="s">
        <v>2542</v>
      </c>
    </row>
    <row r="993" spans="1:2" ht="12.75" hidden="1">
      <c r="A993" s="18" t="s">
        <v>2280</v>
      </c>
      <c r="B993" s="18" t="s">
        <v>1427</v>
      </c>
    </row>
    <row r="994" spans="1:2" ht="12.75" hidden="1">
      <c r="A994" s="18" t="s">
        <v>835</v>
      </c>
      <c r="B994" s="18" t="s">
        <v>1428</v>
      </c>
    </row>
    <row r="995" spans="1:2" ht="12.75" hidden="1">
      <c r="A995" s="18" t="s">
        <v>461</v>
      </c>
      <c r="B995" s="18" t="s">
        <v>462</v>
      </c>
    </row>
    <row r="996" spans="1:2" ht="12.75" hidden="1">
      <c r="A996" s="18" t="s">
        <v>463</v>
      </c>
      <c r="B996" s="18" t="s">
        <v>464</v>
      </c>
    </row>
    <row r="997" spans="1:2" ht="12.75" hidden="1">
      <c r="A997" s="18" t="s">
        <v>465</v>
      </c>
      <c r="B997" s="18" t="s">
        <v>1429</v>
      </c>
    </row>
    <row r="998" spans="1:2" ht="12.75" hidden="1">
      <c r="A998" s="18" t="s">
        <v>1056</v>
      </c>
      <c r="B998" s="18" t="s">
        <v>1430</v>
      </c>
    </row>
    <row r="999" spans="1:2" ht="12.75" hidden="1">
      <c r="A999" s="18" t="s">
        <v>1057</v>
      </c>
      <c r="B999" s="18" t="s">
        <v>1431</v>
      </c>
    </row>
    <row r="1000" spans="1:2" ht="12.75" hidden="1">
      <c r="A1000" s="18" t="s">
        <v>1058</v>
      </c>
      <c r="B1000" s="18" t="s">
        <v>1059</v>
      </c>
    </row>
    <row r="1001" spans="1:2" ht="12.75" hidden="1">
      <c r="A1001" s="18" t="s">
        <v>1060</v>
      </c>
      <c r="B1001" s="18" t="s">
        <v>2543</v>
      </c>
    </row>
    <row r="1002" spans="1:2" ht="12.75" hidden="1">
      <c r="A1002" s="18" t="s">
        <v>2544</v>
      </c>
      <c r="B1002" s="18" t="s">
        <v>2545</v>
      </c>
    </row>
    <row r="1003" spans="1:2" ht="12.75" hidden="1">
      <c r="A1003" s="18" t="s">
        <v>2546</v>
      </c>
      <c r="B1003" s="18" t="s">
        <v>2547</v>
      </c>
    </row>
    <row r="1004" spans="1:2" ht="12.75" hidden="1">
      <c r="A1004" s="18" t="s">
        <v>2548</v>
      </c>
      <c r="B1004" s="18" t="s">
        <v>2549</v>
      </c>
    </row>
    <row r="1005" spans="1:2" ht="12.75" hidden="1">
      <c r="A1005" s="18" t="s">
        <v>2550</v>
      </c>
      <c r="B1005" s="18" t="s">
        <v>1432</v>
      </c>
    </row>
    <row r="1006" spans="1:2" ht="12.75" hidden="1">
      <c r="A1006" s="18" t="s">
        <v>1642</v>
      </c>
      <c r="B1006" s="18" t="s">
        <v>1643</v>
      </c>
    </row>
    <row r="1007" spans="1:2" ht="12.75" hidden="1">
      <c r="A1007" s="18" t="s">
        <v>1644</v>
      </c>
      <c r="B1007" s="18" t="s">
        <v>1645</v>
      </c>
    </row>
    <row r="1008" spans="1:2" ht="12.75" hidden="1">
      <c r="A1008" s="18" t="s">
        <v>1646</v>
      </c>
      <c r="B1008" s="18" t="s">
        <v>1647</v>
      </c>
    </row>
    <row r="1009" spans="1:2" ht="12.75" hidden="1">
      <c r="A1009" s="18" t="s">
        <v>1648</v>
      </c>
      <c r="B1009" s="18" t="s">
        <v>1433</v>
      </c>
    </row>
    <row r="1010" spans="1:2" ht="12.75" hidden="1">
      <c r="A1010" s="18" t="s">
        <v>167</v>
      </c>
      <c r="B1010" s="18" t="s">
        <v>168</v>
      </c>
    </row>
    <row r="1011" spans="1:2" ht="12.75" hidden="1">
      <c r="A1011" s="18" t="s">
        <v>169</v>
      </c>
      <c r="B1011" s="18" t="s">
        <v>170</v>
      </c>
    </row>
    <row r="1012" spans="1:2" ht="12.75" hidden="1">
      <c r="A1012" s="18" t="s">
        <v>171</v>
      </c>
      <c r="B1012" s="18" t="s">
        <v>172</v>
      </c>
    </row>
    <row r="1013" spans="1:2" ht="12.75" hidden="1">
      <c r="A1013" s="18" t="s">
        <v>173</v>
      </c>
      <c r="B1013" s="18" t="s">
        <v>174</v>
      </c>
    </row>
    <row r="1014" spans="1:2" ht="12.75" hidden="1">
      <c r="A1014" s="18" t="s">
        <v>175</v>
      </c>
      <c r="B1014" s="18" t="s">
        <v>1151</v>
      </c>
    </row>
    <row r="1015" spans="1:2" ht="12.75" hidden="1">
      <c r="A1015" s="18" t="s">
        <v>1152</v>
      </c>
      <c r="B1015" s="18" t="s">
        <v>662</v>
      </c>
    </row>
    <row r="1016" spans="1:2" ht="12.75" hidden="1">
      <c r="A1016" s="18" t="s">
        <v>663</v>
      </c>
      <c r="B1016" s="18" t="s">
        <v>664</v>
      </c>
    </row>
    <row r="1017" spans="1:2" ht="12.75" hidden="1">
      <c r="A1017" s="18" t="s">
        <v>665</v>
      </c>
      <c r="B1017" s="18" t="s">
        <v>1434</v>
      </c>
    </row>
    <row r="1018" spans="1:2" ht="12.75" hidden="1">
      <c r="A1018" s="18" t="s">
        <v>666</v>
      </c>
      <c r="B1018" s="18" t="s">
        <v>1435</v>
      </c>
    </row>
    <row r="1019" spans="1:2" ht="12.75" hidden="1">
      <c r="A1019" s="18" t="s">
        <v>667</v>
      </c>
      <c r="B1019" s="18" t="s">
        <v>949</v>
      </c>
    </row>
    <row r="1020" spans="1:2" ht="12.75" hidden="1">
      <c r="A1020" s="18" t="s">
        <v>950</v>
      </c>
      <c r="B1020" s="18" t="s">
        <v>1436</v>
      </c>
    </row>
    <row r="1021" spans="1:2" ht="12.75" hidden="1">
      <c r="A1021" s="18" t="s">
        <v>951</v>
      </c>
      <c r="B1021" s="18" t="s">
        <v>490</v>
      </c>
    </row>
    <row r="1022" spans="1:2" ht="12.75" hidden="1">
      <c r="A1022" s="18" t="s">
        <v>491</v>
      </c>
      <c r="B1022" s="18" t="s">
        <v>492</v>
      </c>
    </row>
    <row r="1023" spans="1:2" ht="12.75" hidden="1">
      <c r="A1023" s="18" t="s">
        <v>493</v>
      </c>
      <c r="B1023" s="18" t="s">
        <v>2036</v>
      </c>
    </row>
    <row r="1024" spans="1:2" ht="12.75" hidden="1">
      <c r="A1024" s="18" t="s">
        <v>2037</v>
      </c>
      <c r="B1024" s="18" t="s">
        <v>2038</v>
      </c>
    </row>
    <row r="1025" spans="1:2" ht="12.75" hidden="1">
      <c r="A1025" s="18" t="s">
        <v>2039</v>
      </c>
      <c r="B1025" s="18" t="s">
        <v>2040</v>
      </c>
    </row>
    <row r="1026" spans="1:2" ht="12.75" hidden="1">
      <c r="A1026" s="18" t="s">
        <v>2041</v>
      </c>
      <c r="B1026" s="18" t="s">
        <v>1437</v>
      </c>
    </row>
    <row r="1027" spans="1:2" ht="12.75" hidden="1">
      <c r="A1027" s="18" t="s">
        <v>2042</v>
      </c>
      <c r="B1027" s="18" t="s">
        <v>2043</v>
      </c>
    </row>
    <row r="1028" spans="1:2" ht="12.75" hidden="1">
      <c r="A1028" s="18" t="s">
        <v>2044</v>
      </c>
      <c r="B1028" s="18" t="s">
        <v>2045</v>
      </c>
    </row>
    <row r="1029" spans="1:2" ht="12.75" hidden="1">
      <c r="A1029" s="18" t="s">
        <v>2046</v>
      </c>
      <c r="B1029" s="18" t="s">
        <v>1438</v>
      </c>
    </row>
    <row r="1030" spans="1:2" ht="12.75" hidden="1">
      <c r="A1030" s="18" t="s">
        <v>2047</v>
      </c>
      <c r="B1030" s="18" t="s">
        <v>2048</v>
      </c>
    </row>
    <row r="1031" spans="1:2" ht="12.75" hidden="1">
      <c r="A1031" s="18" t="s">
        <v>2049</v>
      </c>
      <c r="B1031" s="18" t="s">
        <v>2050</v>
      </c>
    </row>
    <row r="1032" spans="1:2" ht="12.75" hidden="1">
      <c r="A1032" s="18" t="s">
        <v>2051</v>
      </c>
      <c r="B1032" s="18" t="s">
        <v>2505</v>
      </c>
    </row>
    <row r="1033" spans="1:2" ht="12.75" hidden="1">
      <c r="A1033" s="18" t="s">
        <v>2506</v>
      </c>
      <c r="B1033" s="18" t="s">
        <v>2507</v>
      </c>
    </row>
    <row r="1034" spans="1:2" ht="12.75" hidden="1">
      <c r="A1034" s="18" t="s">
        <v>2508</v>
      </c>
      <c r="B1034" s="18" t="s">
        <v>2509</v>
      </c>
    </row>
    <row r="1035" spans="1:2" ht="12.75" hidden="1">
      <c r="A1035" s="18" t="s">
        <v>2510</v>
      </c>
      <c r="B1035" s="18" t="s">
        <v>2511</v>
      </c>
    </row>
    <row r="1036" spans="1:2" ht="12.75" hidden="1">
      <c r="A1036" s="18" t="s">
        <v>2512</v>
      </c>
      <c r="B1036" s="18" t="s">
        <v>2513</v>
      </c>
    </row>
    <row r="1037" spans="1:2" ht="12.75" hidden="1">
      <c r="A1037" s="18" t="s">
        <v>2514</v>
      </c>
      <c r="B1037" s="18" t="s">
        <v>1439</v>
      </c>
    </row>
    <row r="1038" spans="1:2" ht="12.75" hidden="1">
      <c r="A1038" s="18" t="s">
        <v>2515</v>
      </c>
      <c r="B1038" s="18" t="s">
        <v>2516</v>
      </c>
    </row>
    <row r="1039" spans="1:2" ht="12.75" hidden="1">
      <c r="A1039" s="18" t="s">
        <v>2517</v>
      </c>
      <c r="B1039" s="18" t="s">
        <v>2518</v>
      </c>
    </row>
    <row r="1040" spans="1:2" ht="12.75" hidden="1">
      <c r="A1040" s="18" t="s">
        <v>2519</v>
      </c>
      <c r="B1040" s="18" t="s">
        <v>2520</v>
      </c>
    </row>
    <row r="1041" spans="1:2" ht="12.75" hidden="1">
      <c r="A1041" s="18" t="s">
        <v>2521</v>
      </c>
      <c r="B1041" s="18" t="s">
        <v>2408</v>
      </c>
    </row>
    <row r="1042" spans="1:2" ht="12.75" hidden="1">
      <c r="A1042" s="18" t="s">
        <v>2522</v>
      </c>
      <c r="B1042" s="18" t="s">
        <v>2523</v>
      </c>
    </row>
    <row r="1043" spans="1:2" ht="12.75" hidden="1">
      <c r="A1043" s="18" t="s">
        <v>2524</v>
      </c>
      <c r="B1043" s="18" t="s">
        <v>2525</v>
      </c>
    </row>
    <row r="1044" spans="1:2" ht="12.75" hidden="1">
      <c r="A1044" s="18" t="s">
        <v>2526</v>
      </c>
      <c r="B1044" s="18" t="s">
        <v>2486</v>
      </c>
    </row>
    <row r="1045" spans="1:2" ht="12.75" hidden="1">
      <c r="A1045" s="18" t="s">
        <v>2527</v>
      </c>
      <c r="B1045" s="18" t="s">
        <v>1592</v>
      </c>
    </row>
    <row r="1046" spans="1:2" ht="12.75" hidden="1">
      <c r="A1046" s="18" t="s">
        <v>1593</v>
      </c>
      <c r="B1046" s="18" t="s">
        <v>2487</v>
      </c>
    </row>
    <row r="1047" spans="1:2" ht="12.75" hidden="1">
      <c r="A1047" s="18" t="s">
        <v>1594</v>
      </c>
      <c r="B1047" s="18" t="s">
        <v>2022</v>
      </c>
    </row>
    <row r="1048" spans="1:2" ht="12.75" hidden="1">
      <c r="A1048" s="18" t="s">
        <v>2023</v>
      </c>
      <c r="B1048" s="18" t="s">
        <v>2024</v>
      </c>
    </row>
    <row r="1049" spans="1:2" ht="12.75" hidden="1">
      <c r="A1049" s="18" t="s">
        <v>2025</v>
      </c>
      <c r="B1049" s="18" t="s">
        <v>2488</v>
      </c>
    </row>
    <row r="1050" spans="1:2" ht="12.75" hidden="1">
      <c r="A1050" s="18" t="s">
        <v>2026</v>
      </c>
      <c r="B1050" s="18" t="s">
        <v>1595</v>
      </c>
    </row>
    <row r="1051" spans="1:2" ht="12.75" hidden="1">
      <c r="A1051" s="18" t="s">
        <v>1596</v>
      </c>
      <c r="B1051" s="18" t="s">
        <v>2489</v>
      </c>
    </row>
    <row r="1052" spans="1:2" ht="12.75" hidden="1">
      <c r="A1052" s="18" t="s">
        <v>1525</v>
      </c>
      <c r="B1052" s="18" t="s">
        <v>1526</v>
      </c>
    </row>
    <row r="1053" spans="1:2" ht="12.75" hidden="1">
      <c r="A1053" s="18" t="s">
        <v>1527</v>
      </c>
      <c r="B1053" s="18" t="s">
        <v>2721</v>
      </c>
    </row>
    <row r="1054" spans="1:2" ht="12.75" hidden="1">
      <c r="A1054" s="18" t="s">
        <v>517</v>
      </c>
      <c r="B1054" s="18" t="s">
        <v>518</v>
      </c>
    </row>
    <row r="1055" spans="1:2" ht="12.75" hidden="1">
      <c r="A1055" s="18" t="s">
        <v>519</v>
      </c>
      <c r="B1055" s="18" t="s">
        <v>520</v>
      </c>
    </row>
    <row r="1056" spans="1:2" ht="12.75" hidden="1">
      <c r="A1056" s="18" t="s">
        <v>521</v>
      </c>
      <c r="B1056" s="18" t="s">
        <v>522</v>
      </c>
    </row>
    <row r="1057" spans="1:2" ht="12.75" hidden="1">
      <c r="A1057" s="18" t="s">
        <v>523</v>
      </c>
      <c r="B1057" s="18" t="s">
        <v>524</v>
      </c>
    </row>
    <row r="1058" spans="1:2" ht="12.75" hidden="1">
      <c r="A1058" s="18" t="s">
        <v>525</v>
      </c>
      <c r="B1058" s="18" t="s">
        <v>526</v>
      </c>
    </row>
    <row r="1059" spans="1:2" ht="12.75" hidden="1">
      <c r="A1059" s="18" t="s">
        <v>527</v>
      </c>
      <c r="B1059" s="18" t="s">
        <v>2490</v>
      </c>
    </row>
    <row r="1060" spans="1:2" ht="12.75" hidden="1">
      <c r="A1060" s="18" t="s">
        <v>528</v>
      </c>
      <c r="B1060" s="18" t="s">
        <v>2491</v>
      </c>
    </row>
    <row r="1061" spans="1:2" ht="12.75" hidden="1">
      <c r="A1061" s="18" t="s">
        <v>1189</v>
      </c>
      <c r="B1061" s="18" t="s">
        <v>1190</v>
      </c>
    </row>
    <row r="1062" spans="1:2" ht="12.75" hidden="1">
      <c r="A1062" s="18" t="s">
        <v>1191</v>
      </c>
      <c r="B1062" s="18" t="s">
        <v>1192</v>
      </c>
    </row>
    <row r="1063" spans="1:2" ht="12.75" hidden="1">
      <c r="A1063" s="18" t="s">
        <v>1193</v>
      </c>
      <c r="B1063" s="18" t="s">
        <v>2492</v>
      </c>
    </row>
    <row r="1064" spans="1:2" ht="12.75" hidden="1">
      <c r="A1064" s="18" t="s">
        <v>1194</v>
      </c>
      <c r="B1064" s="18" t="s">
        <v>2493</v>
      </c>
    </row>
    <row r="1065" spans="1:2" ht="12.75" hidden="1">
      <c r="A1065" s="18" t="s">
        <v>1195</v>
      </c>
      <c r="B1065" s="18" t="s">
        <v>2494</v>
      </c>
    </row>
    <row r="1066" spans="1:2" ht="12.75" hidden="1">
      <c r="A1066" s="18" t="s">
        <v>1196</v>
      </c>
      <c r="B1066" s="18" t="s">
        <v>2495</v>
      </c>
    </row>
    <row r="1067" spans="1:2" ht="12.75" hidden="1">
      <c r="A1067" s="18" t="s">
        <v>2208</v>
      </c>
      <c r="B1067" s="18" t="s">
        <v>2496</v>
      </c>
    </row>
    <row r="1068" spans="1:2" ht="12.75" hidden="1">
      <c r="A1068" s="18" t="s">
        <v>2209</v>
      </c>
      <c r="B1068" s="18" t="s">
        <v>2497</v>
      </c>
    </row>
    <row r="1069" spans="1:2" ht="12.75" hidden="1">
      <c r="A1069" s="18" t="s">
        <v>2210</v>
      </c>
      <c r="B1069" s="18" t="s">
        <v>2436</v>
      </c>
    </row>
    <row r="1070" spans="1:2" ht="12.75" hidden="1">
      <c r="A1070" s="18" t="s">
        <v>2420</v>
      </c>
      <c r="B1070" s="18" t="s">
        <v>2437</v>
      </c>
    </row>
    <row r="1071" spans="1:2" ht="12.75" hidden="1">
      <c r="A1071" s="18" t="s">
        <v>2421</v>
      </c>
      <c r="B1071" s="18" t="s">
        <v>2438</v>
      </c>
    </row>
    <row r="1072" spans="1:2" ht="12.75" hidden="1">
      <c r="A1072" s="18" t="s">
        <v>1939</v>
      </c>
      <c r="B1072" s="18" t="s">
        <v>2439</v>
      </c>
    </row>
    <row r="1073" spans="1:2" ht="12.75" hidden="1">
      <c r="A1073" s="18" t="s">
        <v>676</v>
      </c>
      <c r="B1073" s="18" t="s">
        <v>2440</v>
      </c>
    </row>
    <row r="1074" spans="1:2" ht="12.75" hidden="1">
      <c r="A1074" s="18" t="s">
        <v>677</v>
      </c>
      <c r="B1074" s="18" t="s">
        <v>2441</v>
      </c>
    </row>
    <row r="1075" spans="1:2" ht="12.75" hidden="1">
      <c r="A1075" s="18" t="s">
        <v>678</v>
      </c>
      <c r="B1075" s="18" t="s">
        <v>1052</v>
      </c>
    </row>
    <row r="1076" spans="1:2" ht="12.75" hidden="1">
      <c r="A1076" s="18" t="s">
        <v>679</v>
      </c>
      <c r="B1076" s="18" t="s">
        <v>453</v>
      </c>
    </row>
    <row r="1077" spans="1:2" ht="12.75" hidden="1">
      <c r="A1077" s="18" t="s">
        <v>454</v>
      </c>
      <c r="B1077" s="18" t="s">
        <v>455</v>
      </c>
    </row>
    <row r="1078" spans="1:2" ht="12.75" hidden="1">
      <c r="A1078" s="18" t="s">
        <v>456</v>
      </c>
      <c r="B1078" s="18" t="s">
        <v>1053</v>
      </c>
    </row>
    <row r="1079" spans="1:2" ht="12.75" hidden="1">
      <c r="A1079" s="18" t="s">
        <v>457</v>
      </c>
      <c r="B1079" s="18" t="s">
        <v>458</v>
      </c>
    </row>
    <row r="1080" spans="1:2" ht="12.75" hidden="1">
      <c r="A1080" s="18" t="s">
        <v>459</v>
      </c>
      <c r="B1080" s="18" t="s">
        <v>1054</v>
      </c>
    </row>
    <row r="1081" spans="1:2" ht="12.75" hidden="1">
      <c r="A1081" s="18" t="s">
        <v>460</v>
      </c>
      <c r="B1081" s="18" t="s">
        <v>1884</v>
      </c>
    </row>
    <row r="1082" spans="1:2" ht="12.75" hidden="1">
      <c r="A1082" s="18" t="s">
        <v>1904</v>
      </c>
      <c r="B1082" s="18" t="s">
        <v>1905</v>
      </c>
    </row>
    <row r="1083" spans="1:2" ht="12.75" hidden="1">
      <c r="A1083" s="18" t="s">
        <v>1906</v>
      </c>
      <c r="B1083" s="18" t="s">
        <v>1907</v>
      </c>
    </row>
    <row r="1084" spans="1:2" ht="12.75" hidden="1">
      <c r="A1084" s="18" t="s">
        <v>1908</v>
      </c>
      <c r="B1084" s="18" t="s">
        <v>1885</v>
      </c>
    </row>
    <row r="1085" spans="1:2" ht="12.75" hidden="1">
      <c r="A1085" s="18" t="s">
        <v>1909</v>
      </c>
      <c r="B1085" s="18" t="s">
        <v>1886</v>
      </c>
    </row>
    <row r="1086" spans="1:2" ht="12.75" hidden="1">
      <c r="A1086" s="18" t="s">
        <v>1910</v>
      </c>
      <c r="B1086" s="18" t="s">
        <v>1887</v>
      </c>
    </row>
    <row r="1087" spans="1:2" ht="12.75" hidden="1">
      <c r="A1087" s="18" t="s">
        <v>1911</v>
      </c>
      <c r="B1087" s="18" t="s">
        <v>1888</v>
      </c>
    </row>
    <row r="1088" spans="1:2" ht="12.75" hidden="1">
      <c r="A1088" s="18" t="s">
        <v>2419</v>
      </c>
      <c r="B1088" s="18" t="s">
        <v>1482</v>
      </c>
    </row>
    <row r="1089" spans="1:2" ht="12.75" hidden="1">
      <c r="A1089" s="18" t="s">
        <v>1483</v>
      </c>
      <c r="B1089" s="18" t="s">
        <v>1484</v>
      </c>
    </row>
    <row r="1090" spans="1:2" ht="12.75" hidden="1">
      <c r="A1090" s="18" t="s">
        <v>1485</v>
      </c>
      <c r="B1090" s="18" t="s">
        <v>1889</v>
      </c>
    </row>
    <row r="1091" spans="1:2" ht="12.75" hidden="1">
      <c r="A1091" s="18" t="s">
        <v>1486</v>
      </c>
      <c r="B1091" s="18" t="s">
        <v>1890</v>
      </c>
    </row>
    <row r="1092" spans="1:2" ht="12.75" hidden="1">
      <c r="A1092" s="18" t="s">
        <v>1487</v>
      </c>
      <c r="B1092" s="18" t="s">
        <v>1891</v>
      </c>
    </row>
    <row r="1093" spans="1:2" ht="12.75" hidden="1">
      <c r="A1093" s="18" t="s">
        <v>1488</v>
      </c>
      <c r="B1093" s="18" t="s">
        <v>1892</v>
      </c>
    </row>
    <row r="1094" spans="1:2" ht="12.75" hidden="1">
      <c r="A1094" s="18" t="s">
        <v>110</v>
      </c>
      <c r="B1094" s="18" t="s">
        <v>1893</v>
      </c>
    </row>
    <row r="1095" spans="1:2" ht="12.75" hidden="1">
      <c r="A1095" s="18" t="s">
        <v>111</v>
      </c>
      <c r="B1095" s="18" t="s">
        <v>112</v>
      </c>
    </row>
    <row r="1096" spans="1:2" ht="12.75" hidden="1">
      <c r="A1096" s="18" t="s">
        <v>113</v>
      </c>
      <c r="B1096" s="18" t="s">
        <v>2084</v>
      </c>
    </row>
    <row r="1097" spans="1:2" ht="12.75" hidden="1">
      <c r="A1097" s="18" t="s">
        <v>114</v>
      </c>
      <c r="B1097" s="18" t="s">
        <v>2085</v>
      </c>
    </row>
    <row r="1098" spans="1:2" ht="12.75" hidden="1">
      <c r="A1098" s="18" t="s">
        <v>115</v>
      </c>
      <c r="B1098" s="18" t="s">
        <v>2086</v>
      </c>
    </row>
    <row r="1099" spans="1:2" ht="12.75" hidden="1">
      <c r="A1099" s="18" t="s">
        <v>1357</v>
      </c>
      <c r="B1099" s="18" t="s">
        <v>2087</v>
      </c>
    </row>
    <row r="1100" spans="1:2" ht="12.75" hidden="1">
      <c r="A1100" s="18" t="s">
        <v>1934</v>
      </c>
      <c r="B1100" s="18" t="s">
        <v>63</v>
      </c>
    </row>
    <row r="1101" spans="1:2" ht="12.75" hidden="1">
      <c r="A1101" s="18" t="s">
        <v>64</v>
      </c>
      <c r="B1101" s="18" t="s">
        <v>2088</v>
      </c>
    </row>
    <row r="1102" spans="1:2" ht="12.75" hidden="1">
      <c r="A1102" s="18" t="s">
        <v>65</v>
      </c>
      <c r="B1102" s="18" t="s">
        <v>2089</v>
      </c>
    </row>
    <row r="1103" spans="1:2" ht="12.75" hidden="1">
      <c r="A1103" s="18" t="s">
        <v>1583</v>
      </c>
      <c r="B1103" s="18" t="s">
        <v>1584</v>
      </c>
    </row>
    <row r="1104" spans="1:2" ht="12.75" hidden="1">
      <c r="A1104" s="18" t="s">
        <v>1585</v>
      </c>
      <c r="B1104" s="18" t="s">
        <v>2090</v>
      </c>
    </row>
    <row r="1105" spans="1:2" ht="12.75" hidden="1">
      <c r="A1105" s="18" t="s">
        <v>1586</v>
      </c>
      <c r="B1105" s="18" t="s">
        <v>2091</v>
      </c>
    </row>
    <row r="1106" spans="1:2" ht="12.75" hidden="1">
      <c r="A1106" s="18" t="s">
        <v>1587</v>
      </c>
      <c r="B1106" s="18" t="s">
        <v>2092</v>
      </c>
    </row>
    <row r="1107" spans="1:2" ht="12.75" hidden="1">
      <c r="A1107" s="18" t="s">
        <v>1588</v>
      </c>
      <c r="B1107" s="18" t="s">
        <v>2093</v>
      </c>
    </row>
    <row r="1108" spans="1:2" ht="12.75" hidden="1">
      <c r="A1108" s="18" t="s">
        <v>1589</v>
      </c>
      <c r="B1108" s="18" t="s">
        <v>2094</v>
      </c>
    </row>
    <row r="1109" spans="1:2" ht="12.75" hidden="1">
      <c r="A1109" s="18" t="s">
        <v>1590</v>
      </c>
      <c r="B1109" s="18" t="s">
        <v>2095</v>
      </c>
    </row>
    <row r="1110" spans="1:2" ht="12.75" hidden="1">
      <c r="A1110" s="18" t="s">
        <v>1668</v>
      </c>
      <c r="B1110" s="18" t="s">
        <v>1669</v>
      </c>
    </row>
    <row r="1111" spans="1:2" ht="12.75" hidden="1">
      <c r="A1111" s="18" t="s">
        <v>1670</v>
      </c>
      <c r="B1111" s="18" t="s">
        <v>2096</v>
      </c>
    </row>
    <row r="1112" spans="1:2" ht="12.75" hidden="1">
      <c r="A1112" s="18" t="s">
        <v>1671</v>
      </c>
      <c r="B1112" s="18" t="s">
        <v>1672</v>
      </c>
    </row>
    <row r="1113" spans="1:2" ht="12.75" hidden="1">
      <c r="A1113" s="18" t="s">
        <v>1673</v>
      </c>
      <c r="B1113" s="18" t="s">
        <v>1167</v>
      </c>
    </row>
    <row r="1114" spans="1:2" ht="12.75" hidden="1">
      <c r="A1114" s="18" t="s">
        <v>1168</v>
      </c>
      <c r="B1114" s="18" t="s">
        <v>2097</v>
      </c>
    </row>
    <row r="1115" spans="1:2" ht="12.75" hidden="1">
      <c r="A1115" s="18" t="s">
        <v>1169</v>
      </c>
      <c r="B1115" s="18" t="s">
        <v>2098</v>
      </c>
    </row>
    <row r="1116" spans="1:2" ht="12.75" hidden="1">
      <c r="A1116" s="18" t="s">
        <v>1170</v>
      </c>
      <c r="B1116" s="18" t="s">
        <v>2099</v>
      </c>
    </row>
    <row r="1117" spans="1:2" ht="12.75" hidden="1">
      <c r="A1117" s="18" t="s">
        <v>197</v>
      </c>
      <c r="B1117" s="18" t="s">
        <v>2100</v>
      </c>
    </row>
    <row r="1118" spans="1:2" ht="12.75" hidden="1">
      <c r="A1118" s="18" t="s">
        <v>198</v>
      </c>
      <c r="B1118" s="18" t="s">
        <v>2101</v>
      </c>
    </row>
    <row r="1119" spans="1:2" ht="12.75" hidden="1">
      <c r="A1119" s="18" t="s">
        <v>1341</v>
      </c>
      <c r="B1119" s="18" t="s">
        <v>2102</v>
      </c>
    </row>
    <row r="1120" spans="1:2" ht="12.75" hidden="1">
      <c r="A1120" s="18" t="s">
        <v>1922</v>
      </c>
      <c r="B1120" s="18" t="s">
        <v>2103</v>
      </c>
    </row>
    <row r="1121" spans="1:2" ht="12.75" hidden="1">
      <c r="A1121" s="18" t="s">
        <v>1417</v>
      </c>
      <c r="B1121" s="18" t="s">
        <v>2104</v>
      </c>
    </row>
    <row r="1122" spans="1:2" ht="12.75" hidden="1">
      <c r="A1122" s="18" t="s">
        <v>1418</v>
      </c>
      <c r="B1122" s="18" t="s">
        <v>2105</v>
      </c>
    </row>
    <row r="1123" spans="1:2" ht="12.75" hidden="1">
      <c r="A1123" s="18" t="s">
        <v>1419</v>
      </c>
      <c r="B1123" s="18" t="s">
        <v>2106</v>
      </c>
    </row>
    <row r="1124" spans="1:2" ht="12.75" hidden="1">
      <c r="A1124" s="18" t="s">
        <v>1420</v>
      </c>
      <c r="B1124" s="18" t="s">
        <v>2107</v>
      </c>
    </row>
    <row r="1125" spans="1:2" ht="12.75" hidden="1">
      <c r="A1125" s="18" t="s">
        <v>1421</v>
      </c>
      <c r="B1125" s="18" t="s">
        <v>214</v>
      </c>
    </row>
    <row r="1126" spans="1:2" ht="12.75" hidden="1">
      <c r="A1126" s="18" t="s">
        <v>1422</v>
      </c>
      <c r="B1126" s="18" t="s">
        <v>2558</v>
      </c>
    </row>
    <row r="1127" spans="1:2" ht="12.75" hidden="1">
      <c r="A1127" s="18" t="s">
        <v>1423</v>
      </c>
      <c r="B1127" s="18" t="s">
        <v>2559</v>
      </c>
    </row>
    <row r="1128" spans="1:2" ht="12.75" hidden="1">
      <c r="A1128" s="18" t="s">
        <v>117</v>
      </c>
      <c r="B1128" s="18" t="s">
        <v>2560</v>
      </c>
    </row>
    <row r="1129" spans="1:2" ht="12.75" hidden="1">
      <c r="A1129" s="18" t="s">
        <v>118</v>
      </c>
      <c r="B1129" s="18" t="s">
        <v>1447</v>
      </c>
    </row>
    <row r="1130" spans="1:2" ht="12.75" hidden="1">
      <c r="A1130" s="18" t="s">
        <v>247</v>
      </c>
      <c r="B1130" s="18" t="s">
        <v>1448</v>
      </c>
    </row>
    <row r="1131" spans="1:2" ht="12.75" hidden="1">
      <c r="A1131" s="18" t="s">
        <v>817</v>
      </c>
      <c r="B1131" s="18" t="s">
        <v>1449</v>
      </c>
    </row>
    <row r="1132" spans="1:2" ht="12.75" hidden="1">
      <c r="A1132" s="18" t="s">
        <v>402</v>
      </c>
      <c r="B1132" s="18" t="s">
        <v>1450</v>
      </c>
    </row>
    <row r="1133" spans="1:2" ht="12.75" hidden="1">
      <c r="A1133" s="18" t="s">
        <v>403</v>
      </c>
      <c r="B1133" s="18" t="s">
        <v>1451</v>
      </c>
    </row>
    <row r="1134" spans="1:2" ht="12.75" hidden="1">
      <c r="A1134" s="18" t="s">
        <v>823</v>
      </c>
      <c r="B1134" s="18" t="s">
        <v>1452</v>
      </c>
    </row>
    <row r="1135" spans="1:2" ht="12.75" hidden="1">
      <c r="A1135" s="18" t="s">
        <v>425</v>
      </c>
      <c r="B1135" s="18" t="s">
        <v>1453</v>
      </c>
    </row>
    <row r="1136" spans="1:2" ht="12.75" hidden="1">
      <c r="A1136" s="18" t="s">
        <v>426</v>
      </c>
      <c r="B1136" s="18" t="s">
        <v>1454</v>
      </c>
    </row>
    <row r="1137" spans="1:2" ht="12.75" hidden="1">
      <c r="A1137" s="18" t="s">
        <v>926</v>
      </c>
      <c r="B1137" s="18" t="s">
        <v>1455</v>
      </c>
    </row>
    <row r="1138" spans="1:2" ht="12.75" hidden="1">
      <c r="A1138" s="18" t="s">
        <v>927</v>
      </c>
      <c r="B1138" s="18" t="s">
        <v>1456</v>
      </c>
    </row>
    <row r="1139" spans="1:2" ht="12.75" hidden="1">
      <c r="A1139" s="18" t="s">
        <v>928</v>
      </c>
      <c r="B1139" s="18" t="s">
        <v>929</v>
      </c>
    </row>
    <row r="1140" spans="1:2" ht="12.75" hidden="1">
      <c r="A1140" s="18" t="s">
        <v>930</v>
      </c>
      <c r="B1140" s="18" t="s">
        <v>1457</v>
      </c>
    </row>
    <row r="1141" spans="1:2" ht="12.75" hidden="1">
      <c r="A1141" s="18" t="s">
        <v>1664</v>
      </c>
      <c r="B1141" s="18" t="s">
        <v>1458</v>
      </c>
    </row>
    <row r="1142" spans="1:2" ht="12.75" hidden="1">
      <c r="A1142" s="18" t="s">
        <v>1665</v>
      </c>
      <c r="B1142" s="18" t="s">
        <v>1459</v>
      </c>
    </row>
    <row r="1143" spans="1:2" ht="12.75" hidden="1">
      <c r="A1143" s="18" t="s">
        <v>884</v>
      </c>
      <c r="B1143" s="18" t="s">
        <v>1460</v>
      </c>
    </row>
    <row r="1144" spans="1:2" ht="12.75" hidden="1">
      <c r="A1144" s="18" t="s">
        <v>885</v>
      </c>
      <c r="B1144" s="18" t="s">
        <v>1461</v>
      </c>
    </row>
    <row r="1145" spans="1:2" ht="12.75" hidden="1">
      <c r="A1145" s="18" t="s">
        <v>886</v>
      </c>
      <c r="B1145" s="18" t="s">
        <v>606</v>
      </c>
    </row>
    <row r="1146" spans="1:2" ht="12.75" hidden="1">
      <c r="A1146" s="18" t="s">
        <v>887</v>
      </c>
      <c r="B1146" s="18" t="s">
        <v>607</v>
      </c>
    </row>
    <row r="1147" spans="1:2" ht="12.75" hidden="1">
      <c r="A1147" s="18" t="s">
        <v>888</v>
      </c>
      <c r="B1147" s="18" t="s">
        <v>608</v>
      </c>
    </row>
    <row r="1148" spans="1:2" ht="12.75" hidden="1">
      <c r="A1148" s="18" t="s">
        <v>2355</v>
      </c>
      <c r="B1148" s="18" t="s">
        <v>609</v>
      </c>
    </row>
    <row r="1149" spans="1:2" ht="12.75" hidden="1">
      <c r="A1149" s="18" t="s">
        <v>2356</v>
      </c>
      <c r="B1149" s="18" t="s">
        <v>610</v>
      </c>
    </row>
    <row r="1150" spans="1:2" ht="12.75" hidden="1">
      <c r="A1150" s="18" t="s">
        <v>2357</v>
      </c>
      <c r="B1150" s="18" t="s">
        <v>611</v>
      </c>
    </row>
    <row r="1151" spans="1:2" ht="12.75" hidden="1">
      <c r="A1151" s="18" t="s">
        <v>2358</v>
      </c>
      <c r="B1151" s="18" t="s">
        <v>612</v>
      </c>
    </row>
    <row r="1152" spans="1:2" ht="12.75" hidden="1">
      <c r="A1152" s="18" t="s">
        <v>2359</v>
      </c>
      <c r="B1152" s="18" t="s">
        <v>2360</v>
      </c>
    </row>
    <row r="1153" spans="1:2" ht="12.75" hidden="1">
      <c r="A1153" s="18" t="s">
        <v>2361</v>
      </c>
      <c r="B1153" s="18" t="s">
        <v>613</v>
      </c>
    </row>
    <row r="1154" spans="1:2" ht="12.75" hidden="1">
      <c r="A1154" s="18" t="s">
        <v>2362</v>
      </c>
      <c r="B1154" s="18" t="s">
        <v>2363</v>
      </c>
    </row>
    <row r="1155" spans="1:2" ht="12.75" hidden="1">
      <c r="A1155" s="18" t="s">
        <v>2364</v>
      </c>
      <c r="B1155" s="18" t="s">
        <v>2365</v>
      </c>
    </row>
    <row r="1156" spans="1:2" ht="12.75" hidden="1">
      <c r="A1156" s="18" t="s">
        <v>2366</v>
      </c>
      <c r="B1156" s="18" t="s">
        <v>2367</v>
      </c>
    </row>
    <row r="1157" spans="1:2" ht="12.75" hidden="1">
      <c r="A1157" s="18" t="s">
        <v>2368</v>
      </c>
      <c r="B1157" s="18" t="s">
        <v>2369</v>
      </c>
    </row>
    <row r="1158" spans="1:2" ht="12.75" hidden="1">
      <c r="A1158" s="18" t="s">
        <v>2370</v>
      </c>
      <c r="B1158" s="18" t="s">
        <v>2456</v>
      </c>
    </row>
    <row r="1159" spans="1:2" ht="12.75" hidden="1">
      <c r="A1159" s="18" t="s">
        <v>2457</v>
      </c>
      <c r="B1159" s="18" t="s">
        <v>2458</v>
      </c>
    </row>
    <row r="1160" spans="1:2" ht="12.75" hidden="1">
      <c r="A1160" s="18" t="s">
        <v>2459</v>
      </c>
      <c r="B1160" s="18" t="s">
        <v>2460</v>
      </c>
    </row>
    <row r="1161" spans="1:2" ht="12.75" hidden="1">
      <c r="A1161" s="18" t="s">
        <v>2461</v>
      </c>
      <c r="B1161" s="18" t="s">
        <v>614</v>
      </c>
    </row>
    <row r="1162" spans="1:2" ht="12.75" hidden="1">
      <c r="A1162" s="18" t="s">
        <v>2462</v>
      </c>
      <c r="B1162" s="18" t="s">
        <v>741</v>
      </c>
    </row>
    <row r="1163" spans="1:2" ht="12.75" hidden="1">
      <c r="A1163" s="18" t="s">
        <v>466</v>
      </c>
      <c r="B1163" s="18" t="s">
        <v>467</v>
      </c>
    </row>
    <row r="1164" spans="1:2" ht="12.75" hidden="1">
      <c r="A1164" s="18" t="s">
        <v>468</v>
      </c>
      <c r="B1164" s="18" t="s">
        <v>469</v>
      </c>
    </row>
    <row r="1165" spans="1:2" ht="12.75" hidden="1">
      <c r="A1165" s="18" t="s">
        <v>470</v>
      </c>
      <c r="B1165" s="18" t="s">
        <v>471</v>
      </c>
    </row>
    <row r="1166" spans="1:2" ht="12.75" hidden="1">
      <c r="A1166" s="18" t="s">
        <v>472</v>
      </c>
      <c r="B1166" s="18" t="s">
        <v>473</v>
      </c>
    </row>
    <row r="1167" spans="1:2" ht="12.75" hidden="1">
      <c r="A1167" s="18" t="s">
        <v>474</v>
      </c>
      <c r="B1167" s="18" t="s">
        <v>742</v>
      </c>
    </row>
    <row r="1168" spans="1:2" ht="12.75" hidden="1">
      <c r="A1168" s="18" t="s">
        <v>475</v>
      </c>
      <c r="B1168" s="18" t="s">
        <v>743</v>
      </c>
    </row>
    <row r="1169" spans="1:2" ht="12.75" hidden="1">
      <c r="A1169" s="18" t="s">
        <v>476</v>
      </c>
      <c r="B1169" s="18" t="s">
        <v>744</v>
      </c>
    </row>
    <row r="1170" spans="1:2" ht="12.75" hidden="1">
      <c r="A1170" s="18" t="s">
        <v>477</v>
      </c>
      <c r="B1170" s="18" t="s">
        <v>478</v>
      </c>
    </row>
    <row r="1171" spans="1:2" ht="12.75" hidden="1">
      <c r="A1171" s="18" t="s">
        <v>479</v>
      </c>
      <c r="B1171" s="18" t="s">
        <v>480</v>
      </c>
    </row>
    <row r="1172" spans="1:2" ht="12.75" hidden="1">
      <c r="A1172" s="18" t="s">
        <v>481</v>
      </c>
      <c r="B1172" s="18" t="s">
        <v>745</v>
      </c>
    </row>
    <row r="1173" spans="1:2" ht="12.75" hidden="1">
      <c r="A1173" s="18" t="s">
        <v>482</v>
      </c>
      <c r="B1173" s="18" t="s">
        <v>746</v>
      </c>
    </row>
    <row r="1174" spans="1:2" ht="12.75" hidden="1">
      <c r="A1174" s="18" t="s">
        <v>483</v>
      </c>
      <c r="B1174" s="18" t="s">
        <v>484</v>
      </c>
    </row>
    <row r="1175" spans="1:2" ht="12.75" hidden="1">
      <c r="A1175" s="18" t="s">
        <v>485</v>
      </c>
      <c r="B1175" s="18" t="s">
        <v>747</v>
      </c>
    </row>
    <row r="1176" spans="1:2" ht="12.75" hidden="1">
      <c r="A1176" s="18" t="s">
        <v>2061</v>
      </c>
      <c r="B1176" s="18" t="s">
        <v>2062</v>
      </c>
    </row>
    <row r="1177" spans="1:2" ht="12.75" hidden="1">
      <c r="A1177" s="18" t="s">
        <v>2063</v>
      </c>
      <c r="B1177" s="18" t="s">
        <v>2064</v>
      </c>
    </row>
    <row r="1178" spans="1:2" ht="12.75" hidden="1">
      <c r="A1178" s="18" t="s">
        <v>2065</v>
      </c>
      <c r="B1178" s="18" t="s">
        <v>748</v>
      </c>
    </row>
    <row r="1179" spans="1:2" ht="12.75" hidden="1">
      <c r="A1179" s="18" t="s">
        <v>867</v>
      </c>
      <c r="B1179" s="18" t="s">
        <v>1522</v>
      </c>
    </row>
    <row r="1180" spans="1:2" ht="12.75" hidden="1">
      <c r="A1180" s="18" t="s">
        <v>1523</v>
      </c>
      <c r="B1180" s="18" t="s">
        <v>2478</v>
      </c>
    </row>
    <row r="1181" spans="1:2" ht="12.75" hidden="1">
      <c r="A1181" s="18" t="s">
        <v>359</v>
      </c>
      <c r="B1181" s="18" t="s">
        <v>360</v>
      </c>
    </row>
    <row r="1182" spans="1:2" ht="12.75" hidden="1">
      <c r="A1182" s="18" t="s">
        <v>361</v>
      </c>
      <c r="B1182" s="18" t="s">
        <v>362</v>
      </c>
    </row>
    <row r="1183" spans="1:2" ht="12.75" hidden="1">
      <c r="A1183" s="18" t="s">
        <v>363</v>
      </c>
      <c r="B1183" s="18" t="s">
        <v>2479</v>
      </c>
    </row>
    <row r="1184" spans="1:2" ht="12.75" hidden="1">
      <c r="A1184" s="18" t="s">
        <v>364</v>
      </c>
      <c r="B1184" s="18" t="s">
        <v>365</v>
      </c>
    </row>
    <row r="1185" spans="1:2" ht="12.75" hidden="1">
      <c r="A1185" s="18" t="s">
        <v>366</v>
      </c>
      <c r="B1185" s="18" t="s">
        <v>2480</v>
      </c>
    </row>
    <row r="1186" spans="1:2" ht="12.75" hidden="1">
      <c r="A1186" s="18" t="s">
        <v>367</v>
      </c>
      <c r="B1186" s="18" t="s">
        <v>368</v>
      </c>
    </row>
    <row r="1187" spans="1:2" ht="12.75" hidden="1">
      <c r="A1187" s="18" t="s">
        <v>369</v>
      </c>
      <c r="B1187" s="18" t="s">
        <v>370</v>
      </c>
    </row>
    <row r="1188" spans="1:2" ht="12.75" hidden="1">
      <c r="A1188" s="18" t="s">
        <v>371</v>
      </c>
      <c r="B1188" s="18" t="s">
        <v>372</v>
      </c>
    </row>
    <row r="1189" spans="1:2" ht="12.75" hidden="1">
      <c r="A1189" s="18" t="s">
        <v>373</v>
      </c>
      <c r="B1189" s="18" t="s">
        <v>335</v>
      </c>
    </row>
    <row r="1190" spans="1:2" ht="12.75" hidden="1">
      <c r="A1190" s="18" t="s">
        <v>868</v>
      </c>
      <c r="B1190" s="18" t="s">
        <v>336</v>
      </c>
    </row>
    <row r="1191" spans="1:2" ht="12.75" hidden="1">
      <c r="A1191" s="18" t="s">
        <v>869</v>
      </c>
      <c r="B1191" s="18" t="s">
        <v>337</v>
      </c>
    </row>
    <row r="1192" spans="1:2" ht="12.75" hidden="1">
      <c r="A1192" s="18" t="s">
        <v>870</v>
      </c>
      <c r="B1192" s="18" t="s">
        <v>871</v>
      </c>
    </row>
    <row r="1193" spans="1:2" ht="12.75" hidden="1">
      <c r="A1193" s="18" t="s">
        <v>872</v>
      </c>
      <c r="B1193" s="18" t="s">
        <v>338</v>
      </c>
    </row>
    <row r="1194" spans="1:2" ht="12.75" hidden="1">
      <c r="A1194" s="18" t="s">
        <v>873</v>
      </c>
      <c r="B1194" s="18" t="s">
        <v>2619</v>
      </c>
    </row>
    <row r="1195" spans="1:2" ht="12.75" hidden="1">
      <c r="A1195" s="18" t="s">
        <v>2620</v>
      </c>
      <c r="B1195" s="18" t="s">
        <v>2621</v>
      </c>
    </row>
    <row r="1196" spans="1:2" ht="12.75" hidden="1">
      <c r="A1196" s="18" t="s">
        <v>2622</v>
      </c>
      <c r="B1196" s="18" t="s">
        <v>2623</v>
      </c>
    </row>
    <row r="1197" spans="1:2" ht="12.75" hidden="1">
      <c r="A1197" s="18" t="s">
        <v>2624</v>
      </c>
      <c r="B1197" s="18" t="s">
        <v>2625</v>
      </c>
    </row>
    <row r="1198" spans="1:2" ht="12.75" hidden="1">
      <c r="A1198" s="18" t="s">
        <v>2626</v>
      </c>
      <c r="B1198" s="18" t="s">
        <v>2627</v>
      </c>
    </row>
    <row r="1199" spans="1:2" ht="12.75" hidden="1">
      <c r="A1199" s="18" t="s">
        <v>2628</v>
      </c>
      <c r="B1199" s="18" t="s">
        <v>494</v>
      </c>
    </row>
    <row r="1200" spans="1:2" ht="12.75" hidden="1">
      <c r="A1200" s="18" t="s">
        <v>208</v>
      </c>
      <c r="B1200" s="18" t="s">
        <v>209</v>
      </c>
    </row>
    <row r="1201" spans="1:2" ht="12.75" hidden="1">
      <c r="A1201" s="18" t="s">
        <v>210</v>
      </c>
      <c r="B1201" s="18" t="s">
        <v>211</v>
      </c>
    </row>
    <row r="1202" spans="1:2" ht="12.75" hidden="1">
      <c r="A1202" s="18" t="s">
        <v>212</v>
      </c>
      <c r="B1202" s="18" t="s">
        <v>339</v>
      </c>
    </row>
    <row r="1203" spans="1:2" ht="12.75" hidden="1">
      <c r="A1203" s="18" t="s">
        <v>213</v>
      </c>
      <c r="B1203" s="18" t="s">
        <v>340</v>
      </c>
    </row>
    <row r="1204" spans="1:2" ht="12.75" hidden="1">
      <c r="A1204" s="18" t="s">
        <v>2354</v>
      </c>
      <c r="B1204" s="18" t="s">
        <v>341</v>
      </c>
    </row>
    <row r="1205" spans="1:2" ht="12.75" hidden="1">
      <c r="A1205" s="18" t="s">
        <v>2442</v>
      </c>
      <c r="B1205" s="18" t="s">
        <v>1061</v>
      </c>
    </row>
    <row r="1206" spans="1:2" ht="12.75" hidden="1">
      <c r="A1206" s="18" t="s">
        <v>1062</v>
      </c>
      <c r="B1206" s="18" t="s">
        <v>1063</v>
      </c>
    </row>
    <row r="1207" spans="1:2" ht="12.75" hidden="1">
      <c r="A1207" s="18" t="s">
        <v>1064</v>
      </c>
      <c r="B1207" s="18" t="s">
        <v>342</v>
      </c>
    </row>
    <row r="1208" spans="1:2" ht="12.75" hidden="1">
      <c r="A1208" s="18" t="s">
        <v>1065</v>
      </c>
      <c r="B1208" s="18" t="s">
        <v>1066</v>
      </c>
    </row>
    <row r="1209" spans="1:2" ht="12.75" hidden="1">
      <c r="A1209" s="18" t="s">
        <v>1067</v>
      </c>
      <c r="B1209" s="18" t="s">
        <v>1068</v>
      </c>
    </row>
    <row r="1210" spans="1:2" ht="12.75" hidden="1">
      <c r="A1210" s="18" t="s">
        <v>1069</v>
      </c>
      <c r="B1210" s="18" t="s">
        <v>1070</v>
      </c>
    </row>
    <row r="1211" spans="1:2" ht="12.75" hidden="1">
      <c r="A1211" s="18" t="s">
        <v>1071</v>
      </c>
      <c r="B1211" s="18" t="s">
        <v>343</v>
      </c>
    </row>
    <row r="1212" spans="1:2" ht="12.75" hidden="1">
      <c r="A1212" s="18" t="s">
        <v>1072</v>
      </c>
      <c r="B1212" s="18" t="s">
        <v>1073</v>
      </c>
    </row>
    <row r="1213" spans="1:2" ht="12.75" hidden="1">
      <c r="A1213" s="18" t="s">
        <v>1074</v>
      </c>
      <c r="B1213" s="18" t="s">
        <v>1075</v>
      </c>
    </row>
    <row r="1214" spans="1:2" ht="12.75" hidden="1">
      <c r="A1214" s="18" t="s">
        <v>1076</v>
      </c>
      <c r="B1214" s="18" t="s">
        <v>344</v>
      </c>
    </row>
    <row r="1215" spans="1:2" ht="12.75" hidden="1">
      <c r="A1215" s="18" t="s">
        <v>1077</v>
      </c>
      <c r="B1215" s="18" t="s">
        <v>2028</v>
      </c>
    </row>
    <row r="1216" spans="1:2" ht="12.75" hidden="1">
      <c r="A1216" s="18" t="s">
        <v>2029</v>
      </c>
      <c r="B1216" s="18" t="s">
        <v>2030</v>
      </c>
    </row>
    <row r="1217" spans="1:2" ht="12.75" hidden="1">
      <c r="A1217" s="18" t="s">
        <v>2031</v>
      </c>
      <c r="B1217" s="18" t="s">
        <v>2032</v>
      </c>
    </row>
    <row r="1218" spans="1:2" ht="12.75" hidden="1">
      <c r="A1218" s="18" t="s">
        <v>2033</v>
      </c>
      <c r="B1218" s="18" t="s">
        <v>2034</v>
      </c>
    </row>
    <row r="1219" spans="1:2" ht="12.75" hidden="1">
      <c r="A1219" s="18" t="s">
        <v>2035</v>
      </c>
      <c r="B1219" s="18" t="s">
        <v>2422</v>
      </c>
    </row>
    <row r="1220" spans="1:2" ht="12.75" hidden="1">
      <c r="A1220" s="18" t="s">
        <v>2423</v>
      </c>
      <c r="B1220" s="18" t="s">
        <v>345</v>
      </c>
    </row>
    <row r="1221" spans="1:2" ht="12.75" hidden="1">
      <c r="A1221" s="18" t="s">
        <v>1078</v>
      </c>
      <c r="B1221" s="18" t="s">
        <v>346</v>
      </c>
    </row>
    <row r="1222" spans="1:2" ht="12.75" hidden="1">
      <c r="A1222" s="18" t="s">
        <v>1079</v>
      </c>
      <c r="B1222" s="18" t="s">
        <v>1080</v>
      </c>
    </row>
    <row r="1223" spans="1:2" ht="12.75" hidden="1">
      <c r="A1223" s="18" t="s">
        <v>1081</v>
      </c>
      <c r="B1223" s="18" t="s">
        <v>347</v>
      </c>
    </row>
    <row r="1224" spans="1:2" ht="12.75" hidden="1">
      <c r="A1224" s="18" t="s">
        <v>1082</v>
      </c>
      <c r="B1224" s="18" t="s">
        <v>348</v>
      </c>
    </row>
    <row r="1225" spans="1:2" ht="12.75" hidden="1">
      <c r="A1225" s="18" t="s">
        <v>1083</v>
      </c>
      <c r="B1225" s="18" t="s">
        <v>1084</v>
      </c>
    </row>
    <row r="1226" spans="1:2" ht="12.75" hidden="1">
      <c r="A1226" s="18" t="s">
        <v>1085</v>
      </c>
      <c r="B1226" s="18" t="s">
        <v>1086</v>
      </c>
    </row>
    <row r="1227" spans="1:2" ht="12.75" hidden="1">
      <c r="A1227" s="18" t="s">
        <v>1087</v>
      </c>
      <c r="B1227" s="18" t="s">
        <v>349</v>
      </c>
    </row>
    <row r="1228" spans="1:2" ht="12.75" hidden="1">
      <c r="A1228" s="18" t="s">
        <v>866</v>
      </c>
      <c r="B1228" s="18" t="s">
        <v>904</v>
      </c>
    </row>
    <row r="1229" spans="1:2" ht="12.75" hidden="1">
      <c r="A1229" s="18" t="s">
        <v>905</v>
      </c>
      <c r="B1229" s="18" t="s">
        <v>350</v>
      </c>
    </row>
    <row r="1230" spans="1:2" ht="12.75" hidden="1">
      <c r="A1230" s="18" t="s">
        <v>906</v>
      </c>
      <c r="B1230" s="18" t="s">
        <v>907</v>
      </c>
    </row>
    <row r="1231" spans="1:2" ht="12.75" hidden="1">
      <c r="A1231" s="18" t="s">
        <v>908</v>
      </c>
      <c r="B1231" s="18" t="s">
        <v>351</v>
      </c>
    </row>
    <row r="1232" spans="1:2" ht="12.75" hidden="1">
      <c r="A1232" s="18" t="s">
        <v>2305</v>
      </c>
      <c r="B1232" s="18" t="s">
        <v>864</v>
      </c>
    </row>
    <row r="1233" spans="1:2" ht="12.75" hidden="1">
      <c r="A1233" s="18" t="s">
        <v>865</v>
      </c>
      <c r="B1233" s="18" t="s">
        <v>352</v>
      </c>
    </row>
    <row r="1234" spans="1:2" ht="12.75" hidden="1">
      <c r="A1234" s="18" t="s">
        <v>1476</v>
      </c>
      <c r="B1234" s="18" t="s">
        <v>353</v>
      </c>
    </row>
    <row r="1235" spans="1:2" ht="12.75" hidden="1">
      <c r="A1235" s="18" t="s">
        <v>1477</v>
      </c>
      <c r="B1235" s="18" t="s">
        <v>1478</v>
      </c>
    </row>
    <row r="1236" spans="1:2" ht="12.75" hidden="1">
      <c r="A1236" s="18" t="s">
        <v>1479</v>
      </c>
      <c r="B1236" s="18" t="s">
        <v>354</v>
      </c>
    </row>
    <row r="1237" spans="1:2" ht="12.75" hidden="1">
      <c r="A1237" s="18" t="s">
        <v>1480</v>
      </c>
      <c r="B1237" s="18" t="s">
        <v>626</v>
      </c>
    </row>
    <row r="1238" spans="1:2" ht="12.75" hidden="1">
      <c r="A1238" s="18" t="s">
        <v>627</v>
      </c>
      <c r="B1238" s="18" t="s">
        <v>355</v>
      </c>
    </row>
    <row r="1239" spans="1:2" ht="12.75" hidden="1">
      <c r="A1239" s="18" t="s">
        <v>628</v>
      </c>
      <c r="B1239" s="18" t="s">
        <v>356</v>
      </c>
    </row>
    <row r="1240" spans="1:2" ht="12.75" hidden="1">
      <c r="A1240" s="18" t="s">
        <v>629</v>
      </c>
      <c r="B1240" s="18" t="s">
        <v>355</v>
      </c>
    </row>
    <row r="1241" spans="1:2" ht="12.75" hidden="1">
      <c r="A1241" s="18" t="s">
        <v>630</v>
      </c>
      <c r="B1241" s="18" t="s">
        <v>357</v>
      </c>
    </row>
    <row r="1242" spans="1:2" ht="12.75" hidden="1">
      <c r="A1242" s="18" t="s">
        <v>631</v>
      </c>
      <c r="B1242" s="18" t="s">
        <v>195</v>
      </c>
    </row>
    <row r="1243" spans="1:2" ht="12.75" hidden="1">
      <c r="A1243" s="18" t="s">
        <v>196</v>
      </c>
      <c r="B1243" s="18" t="s">
        <v>358</v>
      </c>
    </row>
    <row r="1244" spans="1:2" ht="12.75" hidden="1">
      <c r="A1244" s="18" t="s">
        <v>1649</v>
      </c>
      <c r="B1244" s="18" t="s">
        <v>1650</v>
      </c>
    </row>
    <row r="1245" spans="1:2" ht="12.75" hidden="1">
      <c r="A1245" s="18" t="s">
        <v>1651</v>
      </c>
      <c r="B1245" s="18" t="s">
        <v>1652</v>
      </c>
    </row>
    <row r="1246" spans="1:2" ht="12.75" hidden="1">
      <c r="A1246" s="18" t="s">
        <v>1653</v>
      </c>
      <c r="B1246" s="18" t="s">
        <v>979</v>
      </c>
    </row>
    <row r="1247" spans="1:2" ht="12.75" hidden="1">
      <c r="A1247" s="18" t="s">
        <v>1654</v>
      </c>
      <c r="B1247" s="18" t="s">
        <v>2380</v>
      </c>
    </row>
    <row r="1248" spans="1:2" ht="12.75" hidden="1">
      <c r="A1248" s="18" t="s">
        <v>1655</v>
      </c>
      <c r="B1248" s="18" t="s">
        <v>1559</v>
      </c>
    </row>
    <row r="1249" spans="1:2" ht="12.75" hidden="1">
      <c r="A1249" s="18" t="s">
        <v>1560</v>
      </c>
      <c r="B1249" s="18" t="s">
        <v>2381</v>
      </c>
    </row>
    <row r="1250" spans="1:2" ht="12.75" hidden="1">
      <c r="A1250" s="18" t="s">
        <v>248</v>
      </c>
      <c r="B1250" s="18" t="s">
        <v>2381</v>
      </c>
    </row>
    <row r="1251" spans="1:2" ht="12.75" hidden="1">
      <c r="A1251" s="18" t="s">
        <v>249</v>
      </c>
      <c r="B1251" s="18" t="s">
        <v>1037</v>
      </c>
    </row>
    <row r="1252" spans="1:2" ht="12.75" hidden="1">
      <c r="A1252" s="18" t="s">
        <v>250</v>
      </c>
      <c r="B1252" s="18" t="s">
        <v>251</v>
      </c>
    </row>
    <row r="1253" spans="1:2" ht="12.75" hidden="1">
      <c r="A1253" s="18" t="s">
        <v>252</v>
      </c>
      <c r="B1253" s="18" t="s">
        <v>2381</v>
      </c>
    </row>
    <row r="1254" spans="1:2" ht="12.75" hidden="1">
      <c r="A1254" s="18" t="s">
        <v>668</v>
      </c>
      <c r="B1254" s="18" t="s">
        <v>2381</v>
      </c>
    </row>
    <row r="1255" spans="1:2" ht="12.75" hidden="1">
      <c r="A1255" s="18" t="s">
        <v>669</v>
      </c>
      <c r="B1255" s="18" t="s">
        <v>2381</v>
      </c>
    </row>
    <row r="1256" spans="1:2" ht="12.75" hidden="1">
      <c r="A1256" s="18" t="s">
        <v>253</v>
      </c>
      <c r="B1256" s="18" t="s">
        <v>2381</v>
      </c>
    </row>
    <row r="1257" spans="1:2" ht="12.75" hidden="1">
      <c r="A1257" s="18" t="s">
        <v>1265</v>
      </c>
      <c r="B1257" s="18" t="s">
        <v>2381</v>
      </c>
    </row>
    <row r="1258" spans="1:2" ht="12.75" hidden="1">
      <c r="A1258" s="18" t="s">
        <v>2426</v>
      </c>
      <c r="B1258" s="18" t="s">
        <v>2381</v>
      </c>
    </row>
    <row r="1259" spans="1:2" ht="12.75" hidden="1">
      <c r="A1259" s="18" t="s">
        <v>2427</v>
      </c>
      <c r="B1259" s="18" t="s">
        <v>2381</v>
      </c>
    </row>
    <row r="1260" spans="1:2" ht="12.75" hidden="1">
      <c r="A1260" s="18" t="s">
        <v>2428</v>
      </c>
      <c r="B1260" s="18" t="s">
        <v>1038</v>
      </c>
    </row>
    <row r="1261" spans="1:2" ht="12.75" hidden="1">
      <c r="A1261" s="18" t="s">
        <v>2429</v>
      </c>
      <c r="B1261" s="18" t="s">
        <v>1609</v>
      </c>
    </row>
    <row r="1262" spans="1:2" ht="12.75" hidden="1">
      <c r="A1262" s="18" t="s">
        <v>1610</v>
      </c>
      <c r="B1262" s="18" t="s">
        <v>1039</v>
      </c>
    </row>
    <row r="1263" spans="1:2" ht="12.75" hidden="1">
      <c r="A1263" s="18" t="s">
        <v>1611</v>
      </c>
      <c r="B1263" s="18" t="s">
        <v>1612</v>
      </c>
    </row>
    <row r="1264" spans="1:2" ht="12.75" hidden="1">
      <c r="A1264" s="18" t="s">
        <v>1613</v>
      </c>
      <c r="B1264" s="18" t="s">
        <v>1614</v>
      </c>
    </row>
    <row r="1265" spans="1:2" ht="12.75" hidden="1">
      <c r="A1265" s="18" t="s">
        <v>1615</v>
      </c>
      <c r="B1265" s="18" t="s">
        <v>1040</v>
      </c>
    </row>
    <row r="1266" spans="1:2" ht="12.75" hidden="1">
      <c r="A1266" s="18" t="s">
        <v>1880</v>
      </c>
      <c r="B1266" s="18" t="s">
        <v>1041</v>
      </c>
    </row>
    <row r="1267" spans="1:2" ht="12.75" hidden="1">
      <c r="A1267" s="18" t="s">
        <v>1245</v>
      </c>
      <c r="B1267" s="18" t="s">
        <v>1246</v>
      </c>
    </row>
    <row r="1268" spans="1:2" ht="12.75" hidden="1">
      <c r="A1268" s="18" t="s">
        <v>1247</v>
      </c>
      <c r="B1268" s="18" t="s">
        <v>1042</v>
      </c>
    </row>
    <row r="1269" spans="1:2" ht="12.75" hidden="1">
      <c r="A1269" s="18" t="s">
        <v>1928</v>
      </c>
      <c r="B1269" s="18" t="s">
        <v>1929</v>
      </c>
    </row>
    <row r="1270" spans="1:2" ht="12.75" hidden="1">
      <c r="A1270" s="18" t="s">
        <v>1930</v>
      </c>
      <c r="B1270" s="18" t="s">
        <v>1931</v>
      </c>
    </row>
    <row r="1271" spans="1:2" ht="12.75" hidden="1">
      <c r="A1271" s="18" t="s">
        <v>1932</v>
      </c>
      <c r="B1271" s="18" t="s">
        <v>1153</v>
      </c>
    </row>
    <row r="1272" spans="1:2" ht="12.75" hidden="1">
      <c r="A1272" s="18" t="s">
        <v>1154</v>
      </c>
      <c r="B1272" s="18" t="s">
        <v>1043</v>
      </c>
    </row>
    <row r="1273" spans="1:2" ht="12.75" hidden="1">
      <c r="A1273" s="18" t="s">
        <v>1155</v>
      </c>
      <c r="B1273" s="18" t="s">
        <v>1156</v>
      </c>
    </row>
    <row r="1274" spans="1:2" ht="12.75" hidden="1">
      <c r="A1274" s="18" t="s">
        <v>1157</v>
      </c>
      <c r="B1274" s="18" t="s">
        <v>1044</v>
      </c>
    </row>
    <row r="1275" spans="1:2" ht="12.75" hidden="1">
      <c r="A1275" s="18" t="s">
        <v>1158</v>
      </c>
      <c r="B1275" s="18" t="s">
        <v>1045</v>
      </c>
    </row>
    <row r="1276" spans="1:2" ht="12.75" hidden="1">
      <c r="A1276" s="18" t="s">
        <v>818</v>
      </c>
      <c r="B1276" s="18" t="s">
        <v>1046</v>
      </c>
    </row>
    <row r="1277" spans="1:2" ht="12.75" hidden="1">
      <c r="A1277" s="18" t="s">
        <v>819</v>
      </c>
      <c r="B1277" s="18" t="s">
        <v>820</v>
      </c>
    </row>
    <row r="1278" spans="1:2" ht="12.75" hidden="1">
      <c r="A1278" s="18" t="s">
        <v>821</v>
      </c>
      <c r="B1278" s="18" t="s">
        <v>1047</v>
      </c>
    </row>
    <row r="1279" spans="1:2" ht="12.75" hidden="1">
      <c r="A1279" s="18" t="s">
        <v>822</v>
      </c>
      <c r="B1279" s="18" t="s">
        <v>1048</v>
      </c>
    </row>
    <row r="1280" spans="1:2" ht="12.75" hidden="1">
      <c r="A1280" s="18" t="s">
        <v>2185</v>
      </c>
      <c r="B1280" s="18" t="s">
        <v>2186</v>
      </c>
    </row>
    <row r="1281" spans="1:2" ht="12.75" hidden="1">
      <c r="A1281" s="18" t="s">
        <v>2187</v>
      </c>
      <c r="B1281" s="18" t="s">
        <v>1049</v>
      </c>
    </row>
    <row r="1282" spans="1:2" ht="12.75" hidden="1">
      <c r="A1282" s="18" t="s">
        <v>2188</v>
      </c>
      <c r="B1282" s="18" t="s">
        <v>2189</v>
      </c>
    </row>
    <row r="1283" spans="1:2" ht="12.75" hidden="1">
      <c r="A1283" s="18" t="s">
        <v>2190</v>
      </c>
      <c r="B1283" s="18" t="s">
        <v>2140</v>
      </c>
    </row>
    <row r="1284" spans="1:2" ht="12.75" hidden="1">
      <c r="A1284" s="18" t="s">
        <v>1248</v>
      </c>
      <c r="B1284" s="18" t="s">
        <v>2141</v>
      </c>
    </row>
    <row r="1285" spans="1:2" ht="12.75" hidden="1">
      <c r="A1285" s="18" t="s">
        <v>1249</v>
      </c>
      <c r="B1285" s="18" t="s">
        <v>1250</v>
      </c>
    </row>
    <row r="1286" spans="1:2" ht="12.75" hidden="1">
      <c r="A1286" s="18" t="s">
        <v>1251</v>
      </c>
      <c r="B1286" s="18" t="s">
        <v>1252</v>
      </c>
    </row>
    <row r="1287" spans="1:2" ht="12.75" hidden="1">
      <c r="A1287" s="18" t="s">
        <v>1253</v>
      </c>
      <c r="B1287" s="18" t="s">
        <v>1254</v>
      </c>
    </row>
    <row r="1288" spans="1:2" ht="12.75" hidden="1">
      <c r="A1288" s="18" t="s">
        <v>1255</v>
      </c>
      <c r="B1288" s="18" t="s">
        <v>1256</v>
      </c>
    </row>
    <row r="1289" spans="1:2" ht="12.75" hidden="1">
      <c r="A1289" s="18" t="s">
        <v>1257</v>
      </c>
      <c r="B1289" s="18" t="s">
        <v>1258</v>
      </c>
    </row>
    <row r="1290" spans="1:2" ht="12.75" hidden="1">
      <c r="A1290" s="18" t="s">
        <v>1259</v>
      </c>
      <c r="B1290" s="18" t="s">
        <v>2142</v>
      </c>
    </row>
    <row r="1291" spans="1:2" ht="12.75" hidden="1">
      <c r="A1291" s="18" t="s">
        <v>1260</v>
      </c>
      <c r="B1291" s="18" t="s">
        <v>1261</v>
      </c>
    </row>
    <row r="1292" spans="1:2" ht="12.75" hidden="1">
      <c r="A1292" s="18" t="s">
        <v>1262</v>
      </c>
      <c r="B1292" s="18" t="s">
        <v>199</v>
      </c>
    </row>
    <row r="1293" spans="1:2" ht="12.75" hidden="1">
      <c r="A1293" s="18" t="s">
        <v>200</v>
      </c>
      <c r="B1293" s="18" t="s">
        <v>201</v>
      </c>
    </row>
    <row r="1294" spans="1:2" ht="12.75" hidden="1">
      <c r="A1294" s="18" t="s">
        <v>202</v>
      </c>
      <c r="B1294" s="18" t="s">
        <v>203</v>
      </c>
    </row>
    <row r="1295" spans="1:2" ht="12.75" hidden="1">
      <c r="A1295" s="18" t="s">
        <v>204</v>
      </c>
      <c r="B1295" s="18" t="s">
        <v>2143</v>
      </c>
    </row>
    <row r="1296" spans="1:2" ht="12.75" hidden="1">
      <c r="A1296" s="18" t="s">
        <v>205</v>
      </c>
      <c r="B1296" s="18" t="s">
        <v>206</v>
      </c>
    </row>
    <row r="1297" spans="1:2" ht="12.75" hidden="1">
      <c r="A1297" s="18" t="s">
        <v>207</v>
      </c>
      <c r="B1297" s="18" t="s">
        <v>2144</v>
      </c>
    </row>
    <row r="1298" spans="1:2" ht="12.75" hidden="1">
      <c r="A1298" s="18" t="s">
        <v>2415</v>
      </c>
      <c r="B1298" s="18" t="s">
        <v>2145</v>
      </c>
    </row>
    <row r="1299" spans="1:2" ht="12.75" hidden="1">
      <c r="A1299" s="18" t="s">
        <v>2416</v>
      </c>
      <c r="B1299" s="18" t="s">
        <v>2417</v>
      </c>
    </row>
    <row r="1300" spans="1:2" ht="12.75" hidden="1">
      <c r="A1300" s="18" t="s">
        <v>2418</v>
      </c>
      <c r="B1300" s="18" t="s">
        <v>2705</v>
      </c>
    </row>
    <row r="1301" spans="1:2" ht="12.75" hidden="1">
      <c r="A1301" s="18" t="s">
        <v>2706</v>
      </c>
      <c r="B1301" s="18" t="s">
        <v>2146</v>
      </c>
    </row>
    <row r="1302" spans="1:2" ht="12.75" hidden="1">
      <c r="A1302" s="18" t="s">
        <v>2707</v>
      </c>
      <c r="B1302" s="18" t="s">
        <v>2708</v>
      </c>
    </row>
    <row r="1303" spans="1:2" ht="12.75" hidden="1">
      <c r="A1303" s="18" t="s">
        <v>2709</v>
      </c>
      <c r="B1303" s="18" t="s">
        <v>2710</v>
      </c>
    </row>
    <row r="1304" spans="1:2" ht="12.75" hidden="1">
      <c r="A1304" s="18" t="s">
        <v>2711</v>
      </c>
      <c r="B1304" s="18" t="s">
        <v>2147</v>
      </c>
    </row>
    <row r="1305" spans="1:2" ht="12.75" hidden="1">
      <c r="A1305" s="18" t="s">
        <v>2712</v>
      </c>
      <c r="B1305" s="18" t="s">
        <v>2713</v>
      </c>
    </row>
    <row r="1306" spans="1:2" ht="12.75" hidden="1">
      <c r="A1306" s="18" t="s">
        <v>2714</v>
      </c>
      <c r="B1306" s="18" t="s">
        <v>2715</v>
      </c>
    </row>
    <row r="1307" spans="1:2" ht="12.75" hidden="1">
      <c r="A1307" s="18" t="s">
        <v>2716</v>
      </c>
      <c r="B1307" s="18" t="s">
        <v>2717</v>
      </c>
    </row>
    <row r="1308" spans="1:2" ht="12.75" hidden="1">
      <c r="A1308" s="18" t="s">
        <v>2718</v>
      </c>
      <c r="B1308" s="18" t="s">
        <v>2148</v>
      </c>
    </row>
    <row r="1309" spans="1:2" ht="12.75" hidden="1">
      <c r="A1309" s="18" t="s">
        <v>830</v>
      </c>
      <c r="B1309" s="18" t="s">
        <v>2148</v>
      </c>
    </row>
    <row r="1310" spans="1:2" ht="12.75" hidden="1">
      <c r="A1310" s="18" t="s">
        <v>2551</v>
      </c>
      <c r="B1310" s="18" t="s">
        <v>2149</v>
      </c>
    </row>
    <row r="1311" spans="1:2" ht="12.75" hidden="1">
      <c r="A1311" s="18" t="s">
        <v>2283</v>
      </c>
      <c r="B1311" s="18" t="s">
        <v>2150</v>
      </c>
    </row>
    <row r="1312" spans="1:2" ht="12.75" hidden="1">
      <c r="A1312" s="18" t="s">
        <v>2284</v>
      </c>
      <c r="B1312" s="18" t="s">
        <v>2285</v>
      </c>
    </row>
    <row r="1313" spans="1:2" ht="12.75" hidden="1">
      <c r="A1313" s="18" t="s">
        <v>2286</v>
      </c>
      <c r="B1313" s="18" t="s">
        <v>2151</v>
      </c>
    </row>
    <row r="1314" spans="1:2" ht="12.75" hidden="1">
      <c r="A1314" s="18" t="s">
        <v>2287</v>
      </c>
      <c r="B1314" s="18" t="s">
        <v>2288</v>
      </c>
    </row>
    <row r="1315" spans="1:2" ht="12.75" hidden="1">
      <c r="A1315" s="18" t="s">
        <v>2289</v>
      </c>
      <c r="B1315" s="18" t="s">
        <v>2152</v>
      </c>
    </row>
    <row r="1316" spans="1:2" ht="12.75" hidden="1">
      <c r="A1316" s="18" t="s">
        <v>2290</v>
      </c>
      <c r="B1316" s="18" t="s">
        <v>2291</v>
      </c>
    </row>
    <row r="1317" spans="1:2" ht="12.75" hidden="1">
      <c r="A1317" s="18" t="s">
        <v>2292</v>
      </c>
      <c r="B1317" s="18" t="s">
        <v>2553</v>
      </c>
    </row>
    <row r="1318" spans="1:2" ht="12.75" hidden="1">
      <c r="A1318" s="18" t="s">
        <v>2554</v>
      </c>
      <c r="B1318" s="18" t="s">
        <v>2555</v>
      </c>
    </row>
    <row r="1319" spans="1:2" ht="12.75" hidden="1">
      <c r="A1319" s="18" t="s">
        <v>2556</v>
      </c>
      <c r="B1319" s="18" t="s">
        <v>2557</v>
      </c>
    </row>
    <row r="1320" spans="1:2" ht="12.75" hidden="1">
      <c r="A1320" s="18" t="s">
        <v>1519</v>
      </c>
      <c r="B1320" s="18" t="s">
        <v>2153</v>
      </c>
    </row>
    <row r="1321" spans="1:2" ht="12.75" hidden="1">
      <c r="A1321" s="18" t="s">
        <v>2552</v>
      </c>
      <c r="B1321" s="18" t="s">
        <v>2154</v>
      </c>
    </row>
    <row r="1322" spans="1:2" ht="12.75" hidden="1">
      <c r="A1322" s="18" t="s">
        <v>1520</v>
      </c>
      <c r="B1322" s="18" t="s">
        <v>1935</v>
      </c>
    </row>
    <row r="1323" spans="1:2" ht="12.75" hidden="1">
      <c r="A1323" s="18" t="s">
        <v>1936</v>
      </c>
      <c r="B1323" s="18" t="s">
        <v>1937</v>
      </c>
    </row>
    <row r="1324" spans="1:2" ht="12.75" hidden="1">
      <c r="A1324" s="18" t="s">
        <v>1938</v>
      </c>
      <c r="B1324" s="18" t="s">
        <v>1597</v>
      </c>
    </row>
    <row r="1325" spans="1:2" ht="12.75" hidden="1">
      <c r="A1325" s="18" t="s">
        <v>1598</v>
      </c>
      <c r="B1325" s="18" t="s">
        <v>1599</v>
      </c>
    </row>
    <row r="1326" spans="1:2" ht="12.75" hidden="1">
      <c r="A1326" s="18" t="s">
        <v>1600</v>
      </c>
      <c r="B1326" s="18" t="s">
        <v>1601</v>
      </c>
    </row>
    <row r="1327" spans="1:2" ht="12.75" hidden="1">
      <c r="A1327" s="18" t="s">
        <v>1602</v>
      </c>
      <c r="B1327" s="18" t="s">
        <v>1603</v>
      </c>
    </row>
    <row r="1328" spans="1:2" ht="12.75" hidden="1">
      <c r="A1328" s="18" t="s">
        <v>1604</v>
      </c>
      <c r="B1328" s="18" t="s">
        <v>2155</v>
      </c>
    </row>
    <row r="1329" spans="1:2" ht="12.75" hidden="1">
      <c r="A1329" s="18" t="s">
        <v>1879</v>
      </c>
      <c r="B1329" s="18" t="s">
        <v>2156</v>
      </c>
    </row>
    <row r="1330" spans="1:2" ht="12.75" hidden="1">
      <c r="A1330" s="18" t="s">
        <v>2396</v>
      </c>
      <c r="B1330" s="18" t="s">
        <v>2157</v>
      </c>
    </row>
    <row r="1331" spans="1:2" ht="12.75" hidden="1">
      <c r="A1331" s="18" t="s">
        <v>2397</v>
      </c>
      <c r="B1331" s="18" t="s">
        <v>2398</v>
      </c>
    </row>
    <row r="1332" spans="1:2" ht="12.75" hidden="1">
      <c r="A1332" s="18" t="s">
        <v>2399</v>
      </c>
      <c r="B1332" s="18" t="s">
        <v>2400</v>
      </c>
    </row>
    <row r="1333" spans="1:2" ht="12.75" hidden="1">
      <c r="A1333" s="18" t="s">
        <v>2109</v>
      </c>
      <c r="B1333" s="18" t="s">
        <v>2110</v>
      </c>
    </row>
    <row r="1334" spans="1:2" ht="12.75" hidden="1">
      <c r="A1334" s="18" t="s">
        <v>2111</v>
      </c>
      <c r="B1334" s="18" t="s">
        <v>2158</v>
      </c>
    </row>
    <row r="1335" spans="1:2" ht="12.75" hidden="1">
      <c r="A1335" s="18" t="s">
        <v>2112</v>
      </c>
      <c r="B1335" s="18" t="s">
        <v>178</v>
      </c>
    </row>
    <row r="1336" spans="1:2" ht="12.75" hidden="1">
      <c r="A1336" s="18" t="s">
        <v>179</v>
      </c>
      <c r="B1336" s="18" t="s">
        <v>180</v>
      </c>
    </row>
    <row r="1337" spans="1:2" ht="12.75" hidden="1">
      <c r="A1337" s="18" t="s">
        <v>181</v>
      </c>
      <c r="B1337" s="18" t="s">
        <v>2159</v>
      </c>
    </row>
    <row r="1338" spans="1:2" ht="12.75" hidden="1">
      <c r="A1338" s="18" t="s">
        <v>182</v>
      </c>
      <c r="B1338" s="18" t="s">
        <v>2160</v>
      </c>
    </row>
    <row r="1339" spans="1:2" ht="12.75" hidden="1">
      <c r="A1339" s="18" t="s">
        <v>1424</v>
      </c>
      <c r="B1339" s="18" t="s">
        <v>1894</v>
      </c>
    </row>
    <row r="1340" spans="1:2" ht="12.75" hidden="1">
      <c r="A1340" s="18" t="s">
        <v>1895</v>
      </c>
      <c r="B1340" s="18" t="s">
        <v>1896</v>
      </c>
    </row>
    <row r="1341" spans="1:2" ht="12.75" hidden="1">
      <c r="A1341" s="18" t="s">
        <v>1897</v>
      </c>
      <c r="B1341" s="18" t="s">
        <v>1898</v>
      </c>
    </row>
    <row r="1342" spans="1:2" ht="12.75" hidden="1">
      <c r="A1342" s="18" t="s">
        <v>1899</v>
      </c>
      <c r="B1342" s="18" t="s">
        <v>2161</v>
      </c>
    </row>
    <row r="1343" spans="1:2" ht="12.75" hidden="1">
      <c r="A1343" s="18" t="s">
        <v>1900</v>
      </c>
      <c r="B1343" s="18" t="s">
        <v>2162</v>
      </c>
    </row>
    <row r="1344" spans="1:2" ht="12.75" hidden="1">
      <c r="A1344" s="18" t="s">
        <v>2739</v>
      </c>
      <c r="B1344" s="18" t="s">
        <v>2163</v>
      </c>
    </row>
    <row r="1345" spans="1:2" ht="12.75" hidden="1">
      <c r="A1345" s="18" t="s">
        <v>651</v>
      </c>
      <c r="B1345" s="18" t="s">
        <v>652</v>
      </c>
    </row>
    <row r="1346" spans="1:2" ht="12.75" hidden="1">
      <c r="A1346" s="18" t="s">
        <v>653</v>
      </c>
      <c r="B1346" s="18" t="s">
        <v>654</v>
      </c>
    </row>
    <row r="1347" spans="1:2" ht="12.75" hidden="1">
      <c r="A1347" s="18" t="s">
        <v>655</v>
      </c>
      <c r="B1347" s="18" t="s">
        <v>656</v>
      </c>
    </row>
    <row r="1348" spans="1:2" ht="12.75" hidden="1">
      <c r="A1348" s="18" t="s">
        <v>657</v>
      </c>
      <c r="B1348" s="18" t="s">
        <v>2179</v>
      </c>
    </row>
    <row r="1349" spans="1:2" ht="12.75" hidden="1">
      <c r="A1349" s="18" t="s">
        <v>658</v>
      </c>
      <c r="B1349" s="18" t="s">
        <v>2180</v>
      </c>
    </row>
    <row r="1350" spans="1:2" ht="12.75" hidden="1">
      <c r="A1350" s="18" t="s">
        <v>659</v>
      </c>
      <c r="B1350" s="18" t="s">
        <v>2180</v>
      </c>
    </row>
    <row r="1351" spans="1:2" ht="12.75" hidden="1">
      <c r="A1351" s="18" t="s">
        <v>660</v>
      </c>
      <c r="B1351" s="18" t="s">
        <v>2181</v>
      </c>
    </row>
    <row r="1352" ht="12.75" hidden="1"/>
    <row r="1353" ht="12.75" hidden="1"/>
    <row r="1354" ht="12.75" hidden="1"/>
    <row r="1355" spans="1:2" ht="12.75" hidden="1">
      <c r="A1355" s="18">
        <v>4</v>
      </c>
      <c r="B1355" s="18" t="s">
        <v>2067</v>
      </c>
    </row>
    <row r="1356" spans="1:2" ht="12.75" hidden="1">
      <c r="A1356" s="18">
        <v>8</v>
      </c>
      <c r="B1356" s="18" t="s">
        <v>2068</v>
      </c>
    </row>
    <row r="1357" spans="1:2" ht="12.75" hidden="1">
      <c r="A1357" s="18">
        <v>10</v>
      </c>
      <c r="B1357" s="18" t="s">
        <v>2069</v>
      </c>
    </row>
    <row r="1358" spans="1:2" ht="12.75" hidden="1">
      <c r="A1358" s="18">
        <v>12</v>
      </c>
      <c r="B1358" s="18" t="s">
        <v>2070</v>
      </c>
    </row>
    <row r="1359" spans="1:2" ht="12.75" hidden="1">
      <c r="A1359" s="18">
        <v>16</v>
      </c>
      <c r="B1359" s="18" t="s">
        <v>1732</v>
      </c>
    </row>
    <row r="1360" spans="1:2" ht="12.75" hidden="1">
      <c r="A1360" s="18">
        <v>20</v>
      </c>
      <c r="B1360" s="18" t="s">
        <v>1733</v>
      </c>
    </row>
    <row r="1361" spans="1:2" ht="12.75" hidden="1">
      <c r="A1361" s="18">
        <v>24</v>
      </c>
      <c r="B1361" s="18" t="s">
        <v>1734</v>
      </c>
    </row>
    <row r="1362" spans="1:2" ht="12.75" hidden="1">
      <c r="A1362" s="18">
        <v>28</v>
      </c>
      <c r="B1362" s="18" t="s">
        <v>1735</v>
      </c>
    </row>
    <row r="1363" spans="1:2" ht="12.75" hidden="1">
      <c r="A1363" s="18">
        <v>31</v>
      </c>
      <c r="B1363" s="18" t="s">
        <v>1736</v>
      </c>
    </row>
    <row r="1364" spans="1:2" ht="12.75" hidden="1">
      <c r="A1364" s="18">
        <v>32</v>
      </c>
      <c r="B1364" s="18" t="s">
        <v>1737</v>
      </c>
    </row>
    <row r="1365" spans="1:2" ht="12.75" hidden="1">
      <c r="A1365" s="18">
        <v>36</v>
      </c>
      <c r="B1365" s="18" t="s">
        <v>1738</v>
      </c>
    </row>
    <row r="1366" spans="1:2" ht="12.75" hidden="1">
      <c r="A1366" s="18">
        <v>40</v>
      </c>
      <c r="B1366" s="18" t="s">
        <v>1739</v>
      </c>
    </row>
    <row r="1367" spans="1:2" ht="12.75" hidden="1">
      <c r="A1367" s="18">
        <v>44</v>
      </c>
      <c r="B1367" s="18" t="s">
        <v>1740</v>
      </c>
    </row>
    <row r="1368" spans="1:2" ht="12.75" hidden="1">
      <c r="A1368" s="18">
        <v>48</v>
      </c>
      <c r="B1368" s="18" t="s">
        <v>1741</v>
      </c>
    </row>
    <row r="1369" spans="1:2" ht="12.75" hidden="1">
      <c r="A1369" s="18">
        <v>50</v>
      </c>
      <c r="B1369" s="18" t="s">
        <v>1742</v>
      </c>
    </row>
    <row r="1370" spans="1:2" ht="12.75" hidden="1">
      <c r="A1370" s="18">
        <v>51</v>
      </c>
      <c r="B1370" s="18" t="s">
        <v>1743</v>
      </c>
    </row>
    <row r="1371" spans="1:2" ht="12.75" hidden="1">
      <c r="A1371" s="18">
        <v>52</v>
      </c>
      <c r="B1371" s="18" t="s">
        <v>1744</v>
      </c>
    </row>
    <row r="1372" spans="1:2" ht="12.75" hidden="1">
      <c r="A1372" s="18">
        <v>56</v>
      </c>
      <c r="B1372" s="18" t="s">
        <v>1745</v>
      </c>
    </row>
    <row r="1373" spans="1:2" ht="12.75" hidden="1">
      <c r="A1373" s="18">
        <v>60</v>
      </c>
      <c r="B1373" s="18" t="s">
        <v>1746</v>
      </c>
    </row>
    <row r="1374" spans="1:2" ht="12.75" hidden="1">
      <c r="A1374" s="18">
        <v>64</v>
      </c>
      <c r="B1374" s="18" t="s">
        <v>1747</v>
      </c>
    </row>
    <row r="1375" spans="1:2" ht="12.75" hidden="1">
      <c r="A1375" s="18">
        <v>68</v>
      </c>
      <c r="B1375" s="18" t="s">
        <v>1748</v>
      </c>
    </row>
    <row r="1376" spans="1:2" ht="12.75" hidden="1">
      <c r="A1376" s="18">
        <v>70</v>
      </c>
      <c r="B1376" s="18" t="s">
        <v>1749</v>
      </c>
    </row>
    <row r="1377" spans="1:2" ht="12.75" hidden="1">
      <c r="A1377" s="18">
        <v>72</v>
      </c>
      <c r="B1377" s="18" t="s">
        <v>1750</v>
      </c>
    </row>
    <row r="1378" spans="1:2" ht="12.75" hidden="1">
      <c r="A1378" s="18">
        <v>74</v>
      </c>
      <c r="B1378" s="18" t="s">
        <v>1751</v>
      </c>
    </row>
    <row r="1379" spans="1:2" ht="12.75" hidden="1">
      <c r="A1379" s="18">
        <v>76</v>
      </c>
      <c r="B1379" s="18" t="s">
        <v>1752</v>
      </c>
    </row>
    <row r="1380" spans="1:2" ht="12.75" hidden="1">
      <c r="A1380" s="18">
        <v>84</v>
      </c>
      <c r="B1380" s="18" t="s">
        <v>1753</v>
      </c>
    </row>
    <row r="1381" spans="1:2" ht="12.75" hidden="1">
      <c r="A1381" s="18">
        <v>86</v>
      </c>
      <c r="B1381" s="18" t="s">
        <v>1754</v>
      </c>
    </row>
    <row r="1382" spans="1:2" ht="12.75" hidden="1">
      <c r="A1382" s="18">
        <v>90</v>
      </c>
      <c r="B1382" s="18" t="s">
        <v>1755</v>
      </c>
    </row>
    <row r="1383" spans="1:2" ht="12.75" hidden="1">
      <c r="A1383" s="18">
        <v>92</v>
      </c>
      <c r="B1383" s="18" t="s">
        <v>1756</v>
      </c>
    </row>
    <row r="1384" spans="1:2" ht="12.75" hidden="1">
      <c r="A1384" s="18">
        <v>95</v>
      </c>
      <c r="B1384" s="18" t="s">
        <v>1757</v>
      </c>
    </row>
    <row r="1385" spans="1:2" ht="12.75" hidden="1">
      <c r="A1385" s="18">
        <v>96</v>
      </c>
      <c r="B1385" s="18" t="s">
        <v>1758</v>
      </c>
    </row>
    <row r="1386" spans="1:2" ht="12.75" hidden="1">
      <c r="A1386" s="18">
        <v>100</v>
      </c>
      <c r="B1386" s="18" t="s">
        <v>1759</v>
      </c>
    </row>
    <row r="1387" spans="1:2" ht="12.75" hidden="1">
      <c r="A1387" s="18">
        <v>104</v>
      </c>
      <c r="B1387" s="18" t="s">
        <v>1760</v>
      </c>
    </row>
    <row r="1388" spans="1:2" ht="12.75" hidden="1">
      <c r="A1388" s="18">
        <v>108</v>
      </c>
      <c r="B1388" s="18" t="s">
        <v>1761</v>
      </c>
    </row>
    <row r="1389" spans="1:2" ht="12.75" hidden="1">
      <c r="A1389" s="18">
        <v>112</v>
      </c>
      <c r="B1389" s="18" t="s">
        <v>1762</v>
      </c>
    </row>
    <row r="1390" spans="1:2" ht="12.75" hidden="1">
      <c r="A1390" s="18">
        <v>116</v>
      </c>
      <c r="B1390" s="18" t="s">
        <v>1763</v>
      </c>
    </row>
    <row r="1391" spans="1:2" ht="12.75" hidden="1">
      <c r="A1391" s="18">
        <v>120</v>
      </c>
      <c r="B1391" s="18" t="s">
        <v>1764</v>
      </c>
    </row>
    <row r="1392" spans="1:2" ht="12.75" hidden="1">
      <c r="A1392" s="18">
        <v>124</v>
      </c>
      <c r="B1392" s="18" t="s">
        <v>1765</v>
      </c>
    </row>
    <row r="1393" spans="1:2" ht="12.75" hidden="1">
      <c r="A1393" s="18">
        <v>132</v>
      </c>
      <c r="B1393" s="18" t="s">
        <v>1766</v>
      </c>
    </row>
    <row r="1394" spans="1:2" ht="12.75" hidden="1">
      <c r="A1394" s="18">
        <v>136</v>
      </c>
      <c r="B1394" s="18" t="s">
        <v>1767</v>
      </c>
    </row>
    <row r="1395" spans="1:2" ht="12.75" hidden="1">
      <c r="A1395" s="18">
        <v>140</v>
      </c>
      <c r="B1395" s="18" t="s">
        <v>1768</v>
      </c>
    </row>
    <row r="1396" spans="1:2" ht="12.75" hidden="1">
      <c r="A1396" s="18">
        <v>144</v>
      </c>
      <c r="B1396" s="18" t="s">
        <v>1769</v>
      </c>
    </row>
    <row r="1397" spans="1:2" ht="12.75" hidden="1">
      <c r="A1397" s="18">
        <v>148</v>
      </c>
      <c r="B1397" s="18" t="s">
        <v>1770</v>
      </c>
    </row>
    <row r="1398" spans="1:2" ht="12.75" hidden="1">
      <c r="A1398" s="18">
        <v>152</v>
      </c>
      <c r="B1398" s="18" t="s">
        <v>1771</v>
      </c>
    </row>
    <row r="1399" spans="1:2" ht="12.75" hidden="1">
      <c r="A1399" s="18">
        <v>156</v>
      </c>
      <c r="B1399" s="18" t="s">
        <v>1772</v>
      </c>
    </row>
    <row r="1400" spans="1:2" ht="12.75" hidden="1">
      <c r="A1400" s="18">
        <v>158</v>
      </c>
      <c r="B1400" s="18" t="s">
        <v>1773</v>
      </c>
    </row>
    <row r="1401" spans="1:2" ht="12.75" hidden="1">
      <c r="A1401" s="18">
        <v>162</v>
      </c>
      <c r="B1401" s="18" t="s">
        <v>1774</v>
      </c>
    </row>
    <row r="1402" spans="1:2" ht="12.75" hidden="1">
      <c r="A1402" s="18">
        <v>166</v>
      </c>
      <c r="B1402" s="18" t="s">
        <v>1775</v>
      </c>
    </row>
    <row r="1403" spans="1:2" ht="12.75" hidden="1">
      <c r="A1403" s="18">
        <v>170</v>
      </c>
      <c r="B1403" s="18" t="s">
        <v>1776</v>
      </c>
    </row>
    <row r="1404" spans="1:2" ht="12.75" hidden="1">
      <c r="A1404" s="18">
        <v>174</v>
      </c>
      <c r="B1404" s="18" t="s">
        <v>1777</v>
      </c>
    </row>
    <row r="1405" spans="1:2" ht="12.75" hidden="1">
      <c r="A1405" s="18">
        <v>175</v>
      </c>
      <c r="B1405" s="18" t="s">
        <v>1778</v>
      </c>
    </row>
    <row r="1406" spans="1:2" ht="12.75" hidden="1">
      <c r="A1406" s="18">
        <v>178</v>
      </c>
      <c r="B1406" s="18" t="s">
        <v>1779</v>
      </c>
    </row>
    <row r="1407" spans="1:2" ht="12.75" hidden="1">
      <c r="A1407" s="18">
        <v>180</v>
      </c>
      <c r="B1407" s="18" t="s">
        <v>1780</v>
      </c>
    </row>
    <row r="1408" spans="1:2" ht="12.75" hidden="1">
      <c r="A1408" s="18">
        <v>184</v>
      </c>
      <c r="B1408" s="18" t="s">
        <v>1781</v>
      </c>
    </row>
    <row r="1409" spans="1:2" ht="12.75" hidden="1">
      <c r="A1409" s="18">
        <v>188</v>
      </c>
      <c r="B1409" s="18" t="s">
        <v>1782</v>
      </c>
    </row>
    <row r="1410" spans="1:2" ht="12.75" hidden="1">
      <c r="A1410" s="18">
        <v>192</v>
      </c>
      <c r="B1410" s="18" t="s">
        <v>1783</v>
      </c>
    </row>
    <row r="1411" spans="1:2" ht="12.75" hidden="1">
      <c r="A1411" s="18">
        <v>196</v>
      </c>
      <c r="B1411" s="18" t="s">
        <v>1784</v>
      </c>
    </row>
    <row r="1412" spans="1:2" ht="12.75" hidden="1">
      <c r="A1412" s="18">
        <v>203</v>
      </c>
      <c r="B1412" s="18" t="s">
        <v>1785</v>
      </c>
    </row>
    <row r="1413" spans="1:2" ht="12.75" hidden="1">
      <c r="A1413" s="18">
        <v>204</v>
      </c>
      <c r="B1413" s="18" t="s">
        <v>1786</v>
      </c>
    </row>
    <row r="1414" spans="1:2" ht="12.75" hidden="1">
      <c r="A1414" s="18">
        <v>208</v>
      </c>
      <c r="B1414" s="18" t="s">
        <v>1787</v>
      </c>
    </row>
    <row r="1415" spans="1:2" ht="12.75" hidden="1">
      <c r="A1415" s="18">
        <v>212</v>
      </c>
      <c r="B1415" s="18" t="s">
        <v>1788</v>
      </c>
    </row>
    <row r="1416" spans="1:2" ht="12.75" hidden="1">
      <c r="A1416" s="18">
        <v>214</v>
      </c>
      <c r="B1416" s="18" t="s">
        <v>1789</v>
      </c>
    </row>
    <row r="1417" spans="1:2" ht="12.75" hidden="1">
      <c r="A1417" s="18">
        <v>218</v>
      </c>
      <c r="B1417" s="18" t="s">
        <v>1790</v>
      </c>
    </row>
    <row r="1418" spans="1:2" ht="12.75" hidden="1">
      <c r="A1418" s="18">
        <v>222</v>
      </c>
      <c r="B1418" s="18" t="s">
        <v>1791</v>
      </c>
    </row>
    <row r="1419" spans="1:2" ht="12.75" hidden="1">
      <c r="A1419" s="18">
        <v>226</v>
      </c>
      <c r="B1419" s="18" t="s">
        <v>1792</v>
      </c>
    </row>
    <row r="1420" spans="1:2" ht="12.75" hidden="1">
      <c r="A1420" s="18">
        <v>231</v>
      </c>
      <c r="B1420" s="18" t="s">
        <v>1793</v>
      </c>
    </row>
    <row r="1421" spans="1:2" ht="12.75" hidden="1">
      <c r="A1421" s="18">
        <v>232</v>
      </c>
      <c r="B1421" s="18" t="s">
        <v>1794</v>
      </c>
    </row>
    <row r="1422" spans="1:2" ht="12.75" hidden="1">
      <c r="A1422" s="18">
        <v>233</v>
      </c>
      <c r="B1422" s="18" t="s">
        <v>1795</v>
      </c>
    </row>
    <row r="1423" spans="1:2" ht="12.75" hidden="1">
      <c r="A1423" s="18">
        <v>234</v>
      </c>
      <c r="B1423" s="18" t="s">
        <v>1796</v>
      </c>
    </row>
    <row r="1424" spans="1:2" ht="12.75" hidden="1">
      <c r="A1424" s="18">
        <v>238</v>
      </c>
      <c r="B1424" s="18" t="s">
        <v>1797</v>
      </c>
    </row>
    <row r="1425" spans="1:2" ht="12.75" hidden="1">
      <c r="A1425" s="18">
        <v>239</v>
      </c>
      <c r="B1425" s="18" t="s">
        <v>1798</v>
      </c>
    </row>
    <row r="1426" spans="1:2" ht="12.75" hidden="1">
      <c r="A1426" s="18">
        <v>242</v>
      </c>
      <c r="B1426" s="18" t="s">
        <v>1799</v>
      </c>
    </row>
    <row r="1427" spans="1:2" ht="12.75" hidden="1">
      <c r="A1427" s="18">
        <v>246</v>
      </c>
      <c r="B1427" s="18" t="s">
        <v>1800</v>
      </c>
    </row>
    <row r="1428" spans="1:2" ht="12.75" hidden="1">
      <c r="A1428" s="18">
        <v>248</v>
      </c>
      <c r="B1428" s="18" t="s">
        <v>1801</v>
      </c>
    </row>
    <row r="1429" spans="1:2" ht="12.75" hidden="1">
      <c r="A1429" s="18">
        <v>250</v>
      </c>
      <c r="B1429" s="18" t="s">
        <v>1802</v>
      </c>
    </row>
    <row r="1430" spans="1:2" ht="12.75" hidden="1">
      <c r="A1430" s="18">
        <v>254</v>
      </c>
      <c r="B1430" s="18" t="s">
        <v>1803</v>
      </c>
    </row>
    <row r="1431" spans="1:2" ht="12.75" hidden="1">
      <c r="A1431" s="18">
        <v>258</v>
      </c>
      <c r="B1431" s="18" t="s">
        <v>1804</v>
      </c>
    </row>
    <row r="1432" spans="1:2" ht="12.75" hidden="1">
      <c r="A1432" s="18">
        <v>260</v>
      </c>
      <c r="B1432" s="18" t="s">
        <v>1805</v>
      </c>
    </row>
    <row r="1433" spans="1:2" ht="12.75" hidden="1">
      <c r="A1433" s="18">
        <v>262</v>
      </c>
      <c r="B1433" s="18" t="s">
        <v>1806</v>
      </c>
    </row>
    <row r="1434" spans="1:2" ht="12.75" hidden="1">
      <c r="A1434" s="18">
        <v>266</v>
      </c>
      <c r="B1434" s="18" t="s">
        <v>1807</v>
      </c>
    </row>
    <row r="1435" spans="1:2" ht="12.75" hidden="1">
      <c r="A1435" s="18">
        <v>268</v>
      </c>
      <c r="B1435" s="18" t="s">
        <v>1808</v>
      </c>
    </row>
    <row r="1436" spans="1:2" ht="12.75" hidden="1">
      <c r="A1436" s="18">
        <v>270</v>
      </c>
      <c r="B1436" s="18" t="s">
        <v>1809</v>
      </c>
    </row>
    <row r="1437" spans="1:2" ht="12.75" hidden="1">
      <c r="A1437" s="18">
        <v>275</v>
      </c>
      <c r="B1437" s="18" t="s">
        <v>1810</v>
      </c>
    </row>
    <row r="1438" spans="1:2" ht="12.75" hidden="1">
      <c r="A1438" s="18">
        <v>276</v>
      </c>
      <c r="B1438" s="18" t="s">
        <v>1811</v>
      </c>
    </row>
    <row r="1439" spans="1:2" ht="12.75" hidden="1">
      <c r="A1439" s="18">
        <v>288</v>
      </c>
      <c r="B1439" s="18" t="s">
        <v>1812</v>
      </c>
    </row>
    <row r="1440" spans="1:2" ht="12.75" hidden="1">
      <c r="A1440" s="18">
        <v>292</v>
      </c>
      <c r="B1440" s="18" t="s">
        <v>1813</v>
      </c>
    </row>
    <row r="1441" spans="1:2" ht="12.75" hidden="1">
      <c r="A1441" s="18">
        <v>296</v>
      </c>
      <c r="B1441" s="18" t="s">
        <v>1814</v>
      </c>
    </row>
    <row r="1442" spans="1:2" ht="12.75" hidden="1">
      <c r="A1442" s="18">
        <v>300</v>
      </c>
      <c r="B1442" s="18" t="s">
        <v>1815</v>
      </c>
    </row>
    <row r="1443" spans="1:2" ht="12.75" hidden="1">
      <c r="A1443" s="18">
        <v>304</v>
      </c>
      <c r="B1443" s="18" t="s">
        <v>1816</v>
      </c>
    </row>
    <row r="1444" spans="1:2" ht="12.75" hidden="1">
      <c r="A1444" s="18">
        <v>308</v>
      </c>
      <c r="B1444" s="18" t="s">
        <v>1817</v>
      </c>
    </row>
    <row r="1445" spans="1:2" ht="12.75" hidden="1">
      <c r="A1445" s="18">
        <v>312</v>
      </c>
      <c r="B1445" s="18" t="s">
        <v>1818</v>
      </c>
    </row>
    <row r="1446" spans="1:2" ht="12.75" hidden="1">
      <c r="A1446" s="18">
        <v>316</v>
      </c>
      <c r="B1446" s="18" t="s">
        <v>1819</v>
      </c>
    </row>
    <row r="1447" spans="1:2" ht="12.75" hidden="1">
      <c r="A1447" s="18">
        <v>320</v>
      </c>
      <c r="B1447" s="18" t="s">
        <v>1820</v>
      </c>
    </row>
    <row r="1448" spans="1:2" ht="12.75" hidden="1">
      <c r="A1448" s="18">
        <v>324</v>
      </c>
      <c r="B1448" s="18" t="s">
        <v>1821</v>
      </c>
    </row>
    <row r="1449" spans="1:2" ht="12.75" hidden="1">
      <c r="A1449" s="18">
        <v>328</v>
      </c>
      <c r="B1449" s="18" t="s">
        <v>1822</v>
      </c>
    </row>
    <row r="1450" spans="1:2" ht="12.75" hidden="1">
      <c r="A1450" s="18">
        <v>332</v>
      </c>
      <c r="B1450" s="18" t="s">
        <v>1823</v>
      </c>
    </row>
    <row r="1451" spans="1:2" ht="12.75" hidden="1">
      <c r="A1451" s="18">
        <v>334</v>
      </c>
      <c r="B1451" s="18" t="s">
        <v>1824</v>
      </c>
    </row>
    <row r="1452" spans="1:2" ht="12.75" hidden="1">
      <c r="A1452" s="18">
        <v>336</v>
      </c>
      <c r="B1452" s="18" t="s">
        <v>1825</v>
      </c>
    </row>
    <row r="1453" spans="1:2" ht="12.75" hidden="1">
      <c r="A1453" s="18">
        <v>340</v>
      </c>
      <c r="B1453" s="18" t="s">
        <v>1826</v>
      </c>
    </row>
    <row r="1454" spans="1:2" ht="12.75" hidden="1">
      <c r="A1454" s="18">
        <v>344</v>
      </c>
      <c r="B1454" s="18" t="s">
        <v>1827</v>
      </c>
    </row>
    <row r="1455" spans="1:2" ht="12.75" hidden="1">
      <c r="A1455" s="18">
        <v>348</v>
      </c>
      <c r="B1455" s="18" t="s">
        <v>1828</v>
      </c>
    </row>
    <row r="1456" spans="1:2" ht="12.75" hidden="1">
      <c r="A1456" s="18">
        <v>352</v>
      </c>
      <c r="B1456" s="18" t="s">
        <v>1829</v>
      </c>
    </row>
    <row r="1457" spans="1:2" ht="12.75" hidden="1">
      <c r="A1457" s="18">
        <v>356</v>
      </c>
      <c r="B1457" s="18" t="s">
        <v>1830</v>
      </c>
    </row>
    <row r="1458" spans="1:2" ht="12.75" hidden="1">
      <c r="A1458" s="18">
        <v>360</v>
      </c>
      <c r="B1458" s="18" t="s">
        <v>1831</v>
      </c>
    </row>
    <row r="1459" spans="1:2" ht="12.75" hidden="1">
      <c r="A1459" s="18">
        <v>364</v>
      </c>
      <c r="B1459" s="18" t="s">
        <v>1832</v>
      </c>
    </row>
    <row r="1460" spans="1:2" ht="12.75" hidden="1">
      <c r="A1460" s="18">
        <v>368</v>
      </c>
      <c r="B1460" s="18" t="s">
        <v>1833</v>
      </c>
    </row>
    <row r="1461" spans="1:2" ht="12.75" hidden="1">
      <c r="A1461" s="18">
        <v>372</v>
      </c>
      <c r="B1461" s="18" t="s">
        <v>1834</v>
      </c>
    </row>
    <row r="1462" spans="1:2" ht="12.75" hidden="1">
      <c r="A1462" s="18">
        <v>376</v>
      </c>
      <c r="B1462" s="18" t="s">
        <v>1835</v>
      </c>
    </row>
    <row r="1463" spans="1:2" ht="12.75" hidden="1">
      <c r="A1463" s="18">
        <v>380</v>
      </c>
      <c r="B1463" s="18" t="s">
        <v>1836</v>
      </c>
    </row>
    <row r="1464" spans="1:2" ht="12.75" hidden="1">
      <c r="A1464" s="18">
        <v>384</v>
      </c>
      <c r="B1464" s="18" t="s">
        <v>1837</v>
      </c>
    </row>
    <row r="1465" spans="1:2" ht="12.75" hidden="1">
      <c r="A1465" s="18">
        <v>388</v>
      </c>
      <c r="B1465" s="18" t="s">
        <v>1838</v>
      </c>
    </row>
    <row r="1466" spans="1:2" ht="12.75" hidden="1">
      <c r="A1466" s="18">
        <v>392</v>
      </c>
      <c r="B1466" s="18" t="s">
        <v>1839</v>
      </c>
    </row>
    <row r="1467" spans="1:2" ht="12.75" hidden="1">
      <c r="A1467" s="18">
        <v>398</v>
      </c>
      <c r="B1467" s="18" t="s">
        <v>1840</v>
      </c>
    </row>
    <row r="1468" spans="1:2" ht="12.75" hidden="1">
      <c r="A1468" s="18">
        <v>400</v>
      </c>
      <c r="B1468" s="18" t="s">
        <v>1841</v>
      </c>
    </row>
    <row r="1469" spans="1:2" ht="12.75" hidden="1">
      <c r="A1469" s="18">
        <v>404</v>
      </c>
      <c r="B1469" s="18" t="s">
        <v>1842</v>
      </c>
    </row>
    <row r="1470" spans="1:2" ht="12.75" hidden="1">
      <c r="A1470" s="18">
        <v>408</v>
      </c>
      <c r="B1470" s="18" t="s">
        <v>1843</v>
      </c>
    </row>
    <row r="1471" spans="1:2" ht="12.75" hidden="1">
      <c r="A1471" s="18">
        <v>410</v>
      </c>
      <c r="B1471" s="18" t="s">
        <v>1844</v>
      </c>
    </row>
    <row r="1472" spans="1:2" ht="12.75" hidden="1">
      <c r="A1472" s="18">
        <v>414</v>
      </c>
      <c r="B1472" s="18" t="s">
        <v>1845</v>
      </c>
    </row>
    <row r="1473" spans="1:2" ht="12.75" hidden="1">
      <c r="A1473" s="18">
        <v>417</v>
      </c>
      <c r="B1473" s="18" t="s">
        <v>1846</v>
      </c>
    </row>
    <row r="1474" spans="1:2" ht="12.75" hidden="1">
      <c r="A1474" s="18">
        <v>418</v>
      </c>
      <c r="B1474" s="18" t="s">
        <v>1847</v>
      </c>
    </row>
    <row r="1475" spans="1:2" ht="12.75" hidden="1">
      <c r="A1475" s="18">
        <v>422</v>
      </c>
      <c r="B1475" s="18" t="s">
        <v>1848</v>
      </c>
    </row>
    <row r="1476" spans="1:2" ht="12.75" hidden="1">
      <c r="A1476" s="18">
        <v>426</v>
      </c>
      <c r="B1476" s="18" t="s">
        <v>1849</v>
      </c>
    </row>
    <row r="1477" spans="1:2" ht="12.75" hidden="1">
      <c r="A1477" s="18">
        <v>428</v>
      </c>
      <c r="B1477" s="18" t="s">
        <v>1850</v>
      </c>
    </row>
    <row r="1478" spans="1:2" ht="12.75" hidden="1">
      <c r="A1478" s="18">
        <v>430</v>
      </c>
      <c r="B1478" s="18" t="s">
        <v>1851</v>
      </c>
    </row>
    <row r="1479" spans="1:2" ht="12.75" hidden="1">
      <c r="A1479" s="18">
        <v>434</v>
      </c>
      <c r="B1479" s="18" t="s">
        <v>1852</v>
      </c>
    </row>
    <row r="1480" spans="1:2" ht="12.75" hidden="1">
      <c r="A1480" s="18">
        <v>438</v>
      </c>
      <c r="B1480" s="18" t="s">
        <v>1853</v>
      </c>
    </row>
    <row r="1481" spans="1:2" ht="12.75" hidden="1">
      <c r="A1481" s="18">
        <v>440</v>
      </c>
      <c r="B1481" s="18" t="s">
        <v>980</v>
      </c>
    </row>
    <row r="1482" spans="1:2" ht="12.75" hidden="1">
      <c r="A1482" s="18">
        <v>442</v>
      </c>
      <c r="B1482" s="18" t="s">
        <v>981</v>
      </c>
    </row>
    <row r="1483" spans="1:2" ht="12.75" hidden="1">
      <c r="A1483" s="18">
        <v>446</v>
      </c>
      <c r="B1483" s="18" t="s">
        <v>982</v>
      </c>
    </row>
    <row r="1484" spans="1:2" ht="12.75" hidden="1">
      <c r="A1484" s="18">
        <v>450</v>
      </c>
      <c r="B1484" s="18" t="s">
        <v>983</v>
      </c>
    </row>
    <row r="1485" spans="1:2" ht="12.75" hidden="1">
      <c r="A1485" s="18">
        <v>454</v>
      </c>
      <c r="B1485" s="18" t="s">
        <v>984</v>
      </c>
    </row>
    <row r="1486" spans="1:2" ht="12.75" hidden="1">
      <c r="A1486" s="18">
        <v>458</v>
      </c>
      <c r="B1486" s="18" t="s">
        <v>985</v>
      </c>
    </row>
    <row r="1487" spans="1:2" ht="12.75" hidden="1">
      <c r="A1487" s="18">
        <v>462</v>
      </c>
      <c r="B1487" s="18" t="s">
        <v>986</v>
      </c>
    </row>
    <row r="1488" spans="1:2" ht="12.75" hidden="1">
      <c r="A1488" s="18">
        <v>466</v>
      </c>
      <c r="B1488" s="18" t="s">
        <v>987</v>
      </c>
    </row>
    <row r="1489" spans="1:2" ht="12.75" hidden="1">
      <c r="A1489" s="18">
        <v>470</v>
      </c>
      <c r="B1489" s="18" t="s">
        <v>988</v>
      </c>
    </row>
    <row r="1490" spans="1:2" ht="12.75" hidden="1">
      <c r="A1490" s="18">
        <v>474</v>
      </c>
      <c r="B1490" s="18" t="s">
        <v>989</v>
      </c>
    </row>
    <row r="1491" spans="1:2" ht="12.75" hidden="1">
      <c r="A1491" s="18">
        <v>478</v>
      </c>
      <c r="B1491" s="18" t="s">
        <v>990</v>
      </c>
    </row>
    <row r="1492" spans="1:2" ht="12.75" hidden="1">
      <c r="A1492" s="18">
        <v>480</v>
      </c>
      <c r="B1492" s="18" t="s">
        <v>991</v>
      </c>
    </row>
    <row r="1493" spans="1:2" ht="12.75" hidden="1">
      <c r="A1493" s="18">
        <v>484</v>
      </c>
      <c r="B1493" s="18" t="s">
        <v>992</v>
      </c>
    </row>
    <row r="1494" spans="1:2" ht="12.75" hidden="1">
      <c r="A1494" s="18">
        <v>492</v>
      </c>
      <c r="B1494" s="18" t="s">
        <v>993</v>
      </c>
    </row>
    <row r="1495" spans="1:2" ht="12.75" hidden="1">
      <c r="A1495" s="18">
        <v>496</v>
      </c>
      <c r="B1495" s="18" t="s">
        <v>994</v>
      </c>
    </row>
    <row r="1496" spans="1:2" ht="12.75" hidden="1">
      <c r="A1496" s="18">
        <v>498</v>
      </c>
      <c r="B1496" s="18" t="s">
        <v>995</v>
      </c>
    </row>
    <row r="1497" spans="1:2" ht="12.75" hidden="1">
      <c r="A1497" s="18">
        <v>499</v>
      </c>
      <c r="B1497" s="18" t="s">
        <v>996</v>
      </c>
    </row>
    <row r="1498" spans="1:2" ht="12.75" hidden="1">
      <c r="A1498" s="18">
        <v>500</v>
      </c>
      <c r="B1498" s="18" t="s">
        <v>997</v>
      </c>
    </row>
    <row r="1499" spans="1:2" ht="12.75" hidden="1">
      <c r="A1499" s="18">
        <v>504</v>
      </c>
      <c r="B1499" s="18" t="s">
        <v>998</v>
      </c>
    </row>
    <row r="1500" spans="1:2" ht="12.75" hidden="1">
      <c r="A1500" s="18">
        <v>508</v>
      </c>
      <c r="B1500" s="18" t="s">
        <v>999</v>
      </c>
    </row>
    <row r="1501" spans="1:2" ht="12.75" hidden="1">
      <c r="A1501" s="18">
        <v>512</v>
      </c>
      <c r="B1501" s="18" t="s">
        <v>1000</v>
      </c>
    </row>
    <row r="1502" spans="1:2" ht="12.75" hidden="1">
      <c r="A1502" s="18">
        <v>516</v>
      </c>
      <c r="B1502" s="18" t="s">
        <v>1001</v>
      </c>
    </row>
    <row r="1503" spans="1:2" ht="12.75" hidden="1">
      <c r="A1503" s="18">
        <v>520</v>
      </c>
      <c r="B1503" s="18" t="s">
        <v>1002</v>
      </c>
    </row>
    <row r="1504" spans="1:2" ht="12.75" hidden="1">
      <c r="A1504" s="18">
        <v>524</v>
      </c>
      <c r="B1504" s="18" t="s">
        <v>1003</v>
      </c>
    </row>
    <row r="1505" spans="1:2" ht="12.75" hidden="1">
      <c r="A1505" s="18">
        <v>528</v>
      </c>
      <c r="B1505" s="18" t="s">
        <v>1004</v>
      </c>
    </row>
    <row r="1506" spans="1:2" ht="12.75" hidden="1">
      <c r="A1506" s="18">
        <v>531</v>
      </c>
      <c r="B1506" s="18" t="s">
        <v>1005</v>
      </c>
    </row>
    <row r="1507" spans="1:2" ht="12.75" hidden="1">
      <c r="A1507" s="18">
        <v>533</v>
      </c>
      <c r="B1507" s="18" t="s">
        <v>1006</v>
      </c>
    </row>
    <row r="1508" spans="1:2" ht="12.75" hidden="1">
      <c r="A1508" s="18">
        <v>534</v>
      </c>
      <c r="B1508" s="18" t="s">
        <v>1007</v>
      </c>
    </row>
    <row r="1509" spans="1:2" ht="12.75" hidden="1">
      <c r="A1509" s="18">
        <v>535</v>
      </c>
      <c r="B1509" s="18" t="s">
        <v>1008</v>
      </c>
    </row>
    <row r="1510" spans="1:2" ht="12.75" hidden="1">
      <c r="A1510" s="18">
        <v>540</v>
      </c>
      <c r="B1510" s="18" t="s">
        <v>1009</v>
      </c>
    </row>
    <row r="1511" spans="1:2" ht="12.75" hidden="1">
      <c r="A1511" s="18">
        <v>548</v>
      </c>
      <c r="B1511" s="18" t="s">
        <v>1010</v>
      </c>
    </row>
    <row r="1512" spans="1:2" ht="12.75" hidden="1">
      <c r="A1512" s="18">
        <v>554</v>
      </c>
      <c r="B1512" s="18" t="s">
        <v>1011</v>
      </c>
    </row>
    <row r="1513" spans="1:2" ht="12.75" hidden="1">
      <c r="A1513" s="18">
        <v>558</v>
      </c>
      <c r="B1513" s="18" t="s">
        <v>1012</v>
      </c>
    </row>
    <row r="1514" spans="1:2" ht="12.75" hidden="1">
      <c r="A1514" s="18">
        <v>562</v>
      </c>
      <c r="B1514" s="18" t="s">
        <v>1013</v>
      </c>
    </row>
    <row r="1515" spans="1:2" ht="12.75" hidden="1">
      <c r="A1515" s="18">
        <v>566</v>
      </c>
      <c r="B1515" s="18" t="s">
        <v>529</v>
      </c>
    </row>
    <row r="1516" spans="1:2" ht="12.75" hidden="1">
      <c r="A1516" s="18">
        <v>570</v>
      </c>
      <c r="B1516" s="18" t="s">
        <v>530</v>
      </c>
    </row>
    <row r="1517" spans="1:2" ht="12.75" hidden="1">
      <c r="A1517" s="18">
        <v>574</v>
      </c>
      <c r="B1517" s="18" t="s">
        <v>531</v>
      </c>
    </row>
    <row r="1518" spans="1:2" ht="12.75" hidden="1">
      <c r="A1518" s="18">
        <v>578</v>
      </c>
      <c r="B1518" s="18" t="s">
        <v>532</v>
      </c>
    </row>
    <row r="1519" spans="1:2" ht="12.75" hidden="1">
      <c r="A1519" s="18">
        <v>580</v>
      </c>
      <c r="B1519" s="18" t="s">
        <v>533</v>
      </c>
    </row>
    <row r="1520" spans="1:2" ht="12.75" hidden="1">
      <c r="A1520" s="18">
        <v>581</v>
      </c>
      <c r="B1520" s="18" t="s">
        <v>534</v>
      </c>
    </row>
    <row r="1521" spans="1:2" ht="12.75" hidden="1">
      <c r="A1521" s="18">
        <v>583</v>
      </c>
      <c r="B1521" s="18" t="s">
        <v>535</v>
      </c>
    </row>
    <row r="1522" spans="1:2" ht="12.75" hidden="1">
      <c r="A1522" s="18">
        <v>584</v>
      </c>
      <c r="B1522" s="18" t="s">
        <v>536</v>
      </c>
    </row>
    <row r="1523" spans="1:2" ht="12.75" hidden="1">
      <c r="A1523" s="18">
        <v>585</v>
      </c>
      <c r="B1523" s="18" t="s">
        <v>537</v>
      </c>
    </row>
    <row r="1524" spans="1:2" ht="12.75" hidden="1">
      <c r="A1524" s="18">
        <v>586</v>
      </c>
      <c r="B1524" s="18" t="s">
        <v>538</v>
      </c>
    </row>
    <row r="1525" spans="1:2" ht="12.75" hidden="1">
      <c r="A1525" s="18">
        <v>591</v>
      </c>
      <c r="B1525" s="18" t="s">
        <v>539</v>
      </c>
    </row>
    <row r="1526" spans="1:2" ht="12.75" hidden="1">
      <c r="A1526" s="18">
        <v>598</v>
      </c>
      <c r="B1526" s="18" t="s">
        <v>540</v>
      </c>
    </row>
    <row r="1527" spans="1:2" ht="12.75" hidden="1">
      <c r="A1527" s="18">
        <v>600</v>
      </c>
      <c r="B1527" s="18" t="s">
        <v>541</v>
      </c>
    </row>
    <row r="1528" spans="1:2" ht="12.75" hidden="1">
      <c r="A1528" s="18">
        <v>604</v>
      </c>
      <c r="B1528" s="18" t="s">
        <v>542</v>
      </c>
    </row>
    <row r="1529" spans="1:2" ht="12.75" hidden="1">
      <c r="A1529" s="18">
        <v>608</v>
      </c>
      <c r="B1529" s="18" t="s">
        <v>543</v>
      </c>
    </row>
    <row r="1530" spans="1:2" ht="12.75" hidden="1">
      <c r="A1530" s="18">
        <v>612</v>
      </c>
      <c r="B1530" s="18" t="s">
        <v>544</v>
      </c>
    </row>
    <row r="1531" spans="1:2" ht="12.75" hidden="1">
      <c r="A1531" s="18">
        <v>616</v>
      </c>
      <c r="B1531" s="18" t="s">
        <v>545</v>
      </c>
    </row>
    <row r="1532" spans="1:2" ht="12.75" hidden="1">
      <c r="A1532" s="18">
        <v>620</v>
      </c>
      <c r="B1532" s="18" t="s">
        <v>546</v>
      </c>
    </row>
    <row r="1533" spans="1:2" ht="12.75" hidden="1">
      <c r="A1533" s="18">
        <v>624</v>
      </c>
      <c r="B1533" s="18" t="s">
        <v>547</v>
      </c>
    </row>
    <row r="1534" spans="1:2" ht="12.75" hidden="1">
      <c r="A1534" s="18">
        <v>626</v>
      </c>
      <c r="B1534" s="18" t="s">
        <v>548</v>
      </c>
    </row>
    <row r="1535" spans="1:2" ht="12.75" hidden="1">
      <c r="A1535" s="18">
        <v>630</v>
      </c>
      <c r="B1535" s="18" t="s">
        <v>549</v>
      </c>
    </row>
    <row r="1536" spans="1:2" ht="12.75" hidden="1">
      <c r="A1536" s="18">
        <v>634</v>
      </c>
      <c r="B1536" s="18" t="s">
        <v>550</v>
      </c>
    </row>
    <row r="1537" spans="1:2" ht="12.75" hidden="1">
      <c r="A1537" s="18">
        <v>638</v>
      </c>
      <c r="B1537" s="18" t="s">
        <v>551</v>
      </c>
    </row>
    <row r="1538" spans="1:2" ht="12.75" hidden="1">
      <c r="A1538" s="18">
        <v>642</v>
      </c>
      <c r="B1538" s="18" t="s">
        <v>552</v>
      </c>
    </row>
    <row r="1539" spans="1:2" ht="12.75" hidden="1">
      <c r="A1539" s="18">
        <v>643</v>
      </c>
      <c r="B1539" s="18" t="s">
        <v>553</v>
      </c>
    </row>
    <row r="1540" spans="1:2" ht="12.75" hidden="1">
      <c r="A1540" s="18">
        <v>646</v>
      </c>
      <c r="B1540" s="18" t="s">
        <v>554</v>
      </c>
    </row>
    <row r="1541" spans="1:2" ht="12.75" hidden="1">
      <c r="A1541" s="18">
        <v>652</v>
      </c>
      <c r="B1541" s="18" t="s">
        <v>555</v>
      </c>
    </row>
    <row r="1542" spans="1:2" ht="12.75" hidden="1">
      <c r="A1542" s="18">
        <v>654</v>
      </c>
      <c r="B1542" s="18" t="s">
        <v>556</v>
      </c>
    </row>
    <row r="1543" spans="1:2" ht="12.75" hidden="1">
      <c r="A1543" s="18">
        <v>659</v>
      </c>
      <c r="B1543" s="18" t="s">
        <v>557</v>
      </c>
    </row>
    <row r="1544" spans="1:2" ht="12.75" hidden="1">
      <c r="A1544" s="18">
        <v>660</v>
      </c>
      <c r="B1544" s="18" t="s">
        <v>558</v>
      </c>
    </row>
    <row r="1545" spans="1:2" ht="12.75" hidden="1">
      <c r="A1545" s="18">
        <v>662</v>
      </c>
      <c r="B1545" s="18" t="s">
        <v>559</v>
      </c>
    </row>
    <row r="1546" spans="1:2" ht="12.75" hidden="1">
      <c r="A1546" s="18">
        <v>663</v>
      </c>
      <c r="B1546" s="18" t="s">
        <v>560</v>
      </c>
    </row>
    <row r="1547" spans="1:2" ht="12.75" hidden="1">
      <c r="A1547" s="18">
        <v>666</v>
      </c>
      <c r="B1547" s="18" t="s">
        <v>561</v>
      </c>
    </row>
    <row r="1548" spans="1:2" ht="12.75" hidden="1">
      <c r="A1548" s="18">
        <v>670</v>
      </c>
      <c r="B1548" s="18" t="s">
        <v>562</v>
      </c>
    </row>
    <row r="1549" spans="1:2" ht="12.75" hidden="1">
      <c r="A1549" s="18">
        <v>674</v>
      </c>
      <c r="B1549" s="18" t="s">
        <v>563</v>
      </c>
    </row>
    <row r="1550" spans="1:2" ht="12.75" hidden="1">
      <c r="A1550" s="18">
        <v>678</v>
      </c>
      <c r="B1550" s="18" t="s">
        <v>564</v>
      </c>
    </row>
    <row r="1551" spans="1:2" ht="12.75" hidden="1">
      <c r="A1551" s="18">
        <v>682</v>
      </c>
      <c r="B1551" s="18" t="s">
        <v>565</v>
      </c>
    </row>
    <row r="1552" spans="1:2" ht="12.75" hidden="1">
      <c r="A1552" s="18">
        <v>686</v>
      </c>
      <c r="B1552" s="18" t="s">
        <v>566</v>
      </c>
    </row>
    <row r="1553" spans="1:2" ht="12.75" hidden="1">
      <c r="A1553" s="18">
        <v>688</v>
      </c>
      <c r="B1553" s="18" t="s">
        <v>567</v>
      </c>
    </row>
    <row r="1554" spans="1:2" ht="12.75" hidden="1">
      <c r="A1554" s="18">
        <v>690</v>
      </c>
      <c r="B1554" s="18" t="s">
        <v>568</v>
      </c>
    </row>
    <row r="1555" spans="1:2" ht="12.75" hidden="1">
      <c r="A1555" s="18">
        <v>694</v>
      </c>
      <c r="B1555" s="18" t="s">
        <v>569</v>
      </c>
    </row>
    <row r="1556" spans="1:2" ht="12.75" hidden="1">
      <c r="A1556" s="18">
        <v>702</v>
      </c>
      <c r="B1556" s="18" t="s">
        <v>570</v>
      </c>
    </row>
    <row r="1557" spans="1:2" ht="12.75" hidden="1">
      <c r="A1557" s="18">
        <v>703</v>
      </c>
      <c r="B1557" s="18" t="s">
        <v>571</v>
      </c>
    </row>
    <row r="1558" spans="1:2" ht="12.75" hidden="1">
      <c r="A1558" s="18">
        <v>704</v>
      </c>
      <c r="B1558" s="18" t="s">
        <v>572</v>
      </c>
    </row>
    <row r="1559" spans="1:2" ht="12.75" hidden="1">
      <c r="A1559" s="18">
        <v>705</v>
      </c>
      <c r="B1559" s="18" t="s">
        <v>573</v>
      </c>
    </row>
    <row r="1560" spans="1:2" ht="12.75" hidden="1">
      <c r="A1560" s="18">
        <v>706</v>
      </c>
      <c r="B1560" s="18" t="s">
        <v>574</v>
      </c>
    </row>
    <row r="1561" spans="1:2" ht="12.75" hidden="1">
      <c r="A1561" s="18">
        <v>710</v>
      </c>
      <c r="B1561" s="18" t="s">
        <v>575</v>
      </c>
    </row>
    <row r="1562" spans="1:2" ht="12.75" hidden="1">
      <c r="A1562" s="18">
        <v>716</v>
      </c>
      <c r="B1562" s="18" t="s">
        <v>576</v>
      </c>
    </row>
    <row r="1563" spans="1:2" ht="12.75" hidden="1">
      <c r="A1563" s="18">
        <v>724</v>
      </c>
      <c r="B1563" s="18" t="s">
        <v>577</v>
      </c>
    </row>
    <row r="1564" spans="1:2" ht="12.75" hidden="1">
      <c r="A1564" s="18">
        <v>728</v>
      </c>
      <c r="B1564" s="18" t="s">
        <v>578</v>
      </c>
    </row>
    <row r="1565" spans="1:2" ht="12.75" hidden="1">
      <c r="A1565" s="18">
        <v>729</v>
      </c>
      <c r="B1565" s="18" t="s">
        <v>579</v>
      </c>
    </row>
    <row r="1566" spans="1:2" ht="12.75" hidden="1">
      <c r="A1566" s="18">
        <v>732</v>
      </c>
      <c r="B1566" s="18" t="s">
        <v>580</v>
      </c>
    </row>
    <row r="1567" spans="1:2" ht="12.75" hidden="1">
      <c r="A1567" s="18">
        <v>740</v>
      </c>
      <c r="B1567" s="18" t="s">
        <v>581</v>
      </c>
    </row>
    <row r="1568" spans="1:2" ht="12.75" hidden="1">
      <c r="A1568" s="18">
        <v>744</v>
      </c>
      <c r="B1568" s="18" t="s">
        <v>582</v>
      </c>
    </row>
    <row r="1569" spans="1:2" ht="12.75" hidden="1">
      <c r="A1569" s="18">
        <v>748</v>
      </c>
      <c r="B1569" s="18" t="s">
        <v>583</v>
      </c>
    </row>
    <row r="1570" spans="1:2" ht="12.75" hidden="1">
      <c r="A1570" s="18">
        <v>752</v>
      </c>
      <c r="B1570" s="18" t="s">
        <v>584</v>
      </c>
    </row>
    <row r="1571" spans="1:2" ht="12.75" hidden="1">
      <c r="A1571" s="18">
        <v>756</v>
      </c>
      <c r="B1571" s="18" t="s">
        <v>585</v>
      </c>
    </row>
    <row r="1572" spans="1:2" ht="12.75" hidden="1">
      <c r="A1572" s="18">
        <v>760</v>
      </c>
      <c r="B1572" s="18" t="s">
        <v>586</v>
      </c>
    </row>
    <row r="1573" spans="1:2" ht="12.75" hidden="1">
      <c r="A1573" s="18">
        <v>762</v>
      </c>
      <c r="B1573" s="18" t="s">
        <v>587</v>
      </c>
    </row>
    <row r="1574" spans="1:2" ht="12.75" hidden="1">
      <c r="A1574" s="18">
        <v>764</v>
      </c>
      <c r="B1574" s="18" t="s">
        <v>588</v>
      </c>
    </row>
    <row r="1575" spans="1:2" ht="12.75" hidden="1">
      <c r="A1575" s="18">
        <v>768</v>
      </c>
      <c r="B1575" s="18" t="s">
        <v>1675</v>
      </c>
    </row>
    <row r="1576" spans="1:2" ht="12.75" hidden="1">
      <c r="A1576" s="18">
        <v>772</v>
      </c>
      <c r="B1576" s="18" t="s">
        <v>1676</v>
      </c>
    </row>
    <row r="1577" spans="1:2" ht="12.75" hidden="1">
      <c r="A1577" s="18">
        <v>776</v>
      </c>
      <c r="B1577" s="18" t="s">
        <v>1677</v>
      </c>
    </row>
    <row r="1578" spans="1:2" ht="12.75" hidden="1">
      <c r="A1578" s="18">
        <v>780</v>
      </c>
      <c r="B1578" s="18" t="s">
        <v>1678</v>
      </c>
    </row>
    <row r="1579" spans="1:2" ht="12.75" hidden="1">
      <c r="A1579" s="18">
        <v>784</v>
      </c>
      <c r="B1579" s="18" t="s">
        <v>1679</v>
      </c>
    </row>
    <row r="1580" spans="1:2" ht="12.75" hidden="1">
      <c r="A1580" s="18">
        <v>788</v>
      </c>
      <c r="B1580" s="18" t="s">
        <v>1680</v>
      </c>
    </row>
    <row r="1581" spans="1:2" ht="12.75" hidden="1">
      <c r="A1581" s="18">
        <v>792</v>
      </c>
      <c r="B1581" s="18" t="s">
        <v>1681</v>
      </c>
    </row>
    <row r="1582" spans="1:2" ht="12.75" hidden="1">
      <c r="A1582" s="18">
        <v>795</v>
      </c>
      <c r="B1582" s="18" t="s">
        <v>1682</v>
      </c>
    </row>
    <row r="1583" spans="1:2" ht="12.75" hidden="1">
      <c r="A1583" s="18">
        <v>796</v>
      </c>
      <c r="B1583" s="18" t="s">
        <v>1683</v>
      </c>
    </row>
    <row r="1584" spans="1:2" ht="12.75" hidden="1">
      <c r="A1584" s="18">
        <v>798</v>
      </c>
      <c r="B1584" s="18" t="s">
        <v>1684</v>
      </c>
    </row>
    <row r="1585" spans="1:2" ht="12.75" hidden="1">
      <c r="A1585" s="18">
        <v>800</v>
      </c>
      <c r="B1585" s="18" t="s">
        <v>1685</v>
      </c>
    </row>
    <row r="1586" spans="1:2" ht="12.75" hidden="1">
      <c r="A1586" s="18">
        <v>804</v>
      </c>
      <c r="B1586" s="18" t="s">
        <v>1686</v>
      </c>
    </row>
    <row r="1587" spans="1:2" ht="12.75" hidden="1">
      <c r="A1587" s="18">
        <v>807</v>
      </c>
      <c r="B1587" s="18" t="s">
        <v>1687</v>
      </c>
    </row>
    <row r="1588" spans="1:2" ht="12.75" hidden="1">
      <c r="A1588" s="18">
        <v>818</v>
      </c>
      <c r="B1588" s="18" t="s">
        <v>1688</v>
      </c>
    </row>
    <row r="1589" spans="1:2" ht="12.75" hidden="1">
      <c r="A1589" s="18">
        <v>826</v>
      </c>
      <c r="B1589" s="18" t="s">
        <v>1689</v>
      </c>
    </row>
    <row r="1590" spans="1:2" ht="12.75" hidden="1">
      <c r="A1590" s="18">
        <v>831</v>
      </c>
      <c r="B1590" s="18" t="s">
        <v>1690</v>
      </c>
    </row>
    <row r="1591" spans="1:2" ht="12.75" hidden="1">
      <c r="A1591" s="18">
        <v>832</v>
      </c>
      <c r="B1591" s="18" t="s">
        <v>1691</v>
      </c>
    </row>
    <row r="1592" spans="1:2" ht="12.75" hidden="1">
      <c r="A1592" s="18">
        <v>833</v>
      </c>
      <c r="B1592" s="18" t="s">
        <v>1692</v>
      </c>
    </row>
    <row r="1593" spans="1:2" ht="12.75" hidden="1">
      <c r="A1593" s="18">
        <v>834</v>
      </c>
      <c r="B1593" s="18" t="s">
        <v>1693</v>
      </c>
    </row>
    <row r="1594" spans="1:2" ht="12.75" hidden="1">
      <c r="A1594" s="18">
        <v>840</v>
      </c>
      <c r="B1594" s="18" t="s">
        <v>1694</v>
      </c>
    </row>
    <row r="1595" spans="1:2" ht="12.75" hidden="1">
      <c r="A1595" s="18">
        <v>850</v>
      </c>
      <c r="B1595" s="18" t="s">
        <v>1695</v>
      </c>
    </row>
    <row r="1596" spans="1:2" ht="12.75" hidden="1">
      <c r="A1596" s="18">
        <v>854</v>
      </c>
      <c r="B1596" s="18" t="s">
        <v>1696</v>
      </c>
    </row>
    <row r="1597" spans="1:2" ht="12.75" hidden="1">
      <c r="A1597" s="18">
        <v>858</v>
      </c>
      <c r="B1597" s="18" t="s">
        <v>1697</v>
      </c>
    </row>
    <row r="1598" spans="1:2" ht="12.75" hidden="1">
      <c r="A1598" s="18">
        <v>860</v>
      </c>
      <c r="B1598" s="18" t="s">
        <v>1698</v>
      </c>
    </row>
    <row r="1599" spans="1:2" ht="12.75" hidden="1">
      <c r="A1599" s="18">
        <v>862</v>
      </c>
      <c r="B1599" s="18" t="s">
        <v>1699</v>
      </c>
    </row>
    <row r="1600" spans="1:2" ht="12.75" hidden="1">
      <c r="A1600" s="18">
        <v>876</v>
      </c>
      <c r="B1600" s="18" t="s">
        <v>1700</v>
      </c>
    </row>
    <row r="1601" spans="1:2" ht="12.75" hidden="1">
      <c r="A1601" s="18">
        <v>882</v>
      </c>
      <c r="B1601" s="18" t="s">
        <v>1701</v>
      </c>
    </row>
    <row r="1602" spans="1:2" ht="12.75" hidden="1">
      <c r="A1602" s="18">
        <v>887</v>
      </c>
      <c r="B1602" s="18" t="s">
        <v>1702</v>
      </c>
    </row>
    <row r="1603" spans="1:2" ht="12.75" hidden="1">
      <c r="A1603" s="18">
        <v>894</v>
      </c>
      <c r="B1603" s="18" t="s">
        <v>1703</v>
      </c>
    </row>
  </sheetData>
  <sheetProtection password="C79A" sheet="1" objects="1" scenarios="1"/>
  <mergeCells count="100">
    <mergeCell ref="J56:N56"/>
    <mergeCell ref="I50:K50"/>
    <mergeCell ref="D50:H50"/>
    <mergeCell ref="D19:H19"/>
    <mergeCell ref="I19:M19"/>
    <mergeCell ref="J52:N52"/>
    <mergeCell ref="J54:N54"/>
    <mergeCell ref="J28:N28"/>
    <mergeCell ref="J21:K21"/>
    <mergeCell ref="D56:E56"/>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L35:N35"/>
    <mergeCell ref="J58:N58"/>
    <mergeCell ref="J60:N60"/>
    <mergeCell ref="A56:B56"/>
    <mergeCell ref="K39:N39"/>
    <mergeCell ref="G58:H58"/>
    <mergeCell ref="A50:B50"/>
    <mergeCell ref="A46:B47"/>
    <mergeCell ref="D42:N42"/>
    <mergeCell ref="D44:N44"/>
    <mergeCell ref="A27:B27"/>
    <mergeCell ref="A21:B21"/>
    <mergeCell ref="F27:G27"/>
    <mergeCell ref="H39:I39"/>
    <mergeCell ref="A29:B29"/>
    <mergeCell ref="C33:L33"/>
    <mergeCell ref="A31:B31"/>
    <mergeCell ref="C29:L29"/>
    <mergeCell ref="A37:B37"/>
    <mergeCell ref="J35:K35"/>
    <mergeCell ref="A19:B19"/>
    <mergeCell ref="A42:B42"/>
    <mergeCell ref="E21:H21"/>
    <mergeCell ref="A39:B39"/>
    <mergeCell ref="F28:I28"/>
    <mergeCell ref="A33:B33"/>
    <mergeCell ref="D31:E31"/>
    <mergeCell ref="F31:L31"/>
    <mergeCell ref="C35:I35"/>
    <mergeCell ref="L21:N21"/>
    <mergeCell ref="A52:B52"/>
    <mergeCell ref="D39:G39"/>
    <mergeCell ref="A35:B35"/>
    <mergeCell ref="D52:H52"/>
    <mergeCell ref="C37:I37"/>
    <mergeCell ref="A44:B44"/>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4:B54"/>
    <mergeCell ref="A58:B59"/>
    <mergeCell ref="G56:H56"/>
    <mergeCell ref="A23:B24"/>
    <mergeCell ref="D23:N23"/>
    <mergeCell ref="H27:I27"/>
    <mergeCell ref="M27:N27"/>
    <mergeCell ref="J27:L27"/>
    <mergeCell ref="C27:E27"/>
    <mergeCell ref="D58:E58"/>
  </mergeCells>
  <conditionalFormatting sqref="I52 I62 I54 I58 I56 I60 I66 I64 H47:H49 H45 H40:H41 I68">
    <cfRule type="cellIs" priority="1" dxfId="28" operator="equal" stopIfTrue="1">
      <formula>"DA"</formula>
    </cfRule>
  </conditionalFormatting>
  <conditionalFormatting sqref="F4:G4">
    <cfRule type="cellIs" priority="2" dxfId="25" operator="lessThan" stopIfTrue="1">
      <formula>$C$4</formula>
    </cfRule>
  </conditionalFormatting>
  <conditionalFormatting sqref="D44:N44">
    <cfRule type="cellIs" priority="5" dxfId="17" operator="equal" stopIfTrue="1">
      <formula>"Upisana je nepostojeća ili neprepoznatljiva šifra statusa autonomnosti"</formula>
    </cfRule>
  </conditionalFormatting>
  <conditionalFormatting sqref="N25 D17:N18 D26:N26">
    <cfRule type="cellIs" priority="6" dxfId="17" operator="equal" stopIfTrue="1">
      <formula>"Upisana je nepostojeća ili neprepoznatljiva vrsta izvještaja"</formula>
    </cfRule>
  </conditionalFormatting>
  <conditionalFormatting sqref="C20 D19 I20">
    <cfRule type="cellIs" priority="7" dxfId="17" operator="equal" stopIfTrue="1">
      <formula>"Nepostojeća ili neprepoznatljiva svrha predaje"</formula>
    </cfRule>
  </conditionalFormatting>
  <conditionalFormatting sqref="D42:N42">
    <cfRule type="cellIs" priority="8" dxfId="17" operator="equal" stopIfTrue="1">
      <formula>"Šifra NKD-a ne postoji"</formula>
    </cfRule>
  </conditionalFormatting>
  <conditionalFormatting sqref="E51:G51 D50:D51">
    <cfRule type="cellIs" priority="9" dxfId="17" operator="equal" stopIfTrue="1">
      <formula>"Nepostojeća oznaka veličine"</formula>
    </cfRule>
  </conditionalFormatting>
  <conditionalFormatting sqref="D52:H52">
    <cfRule type="cellIs" priority="10" dxfId="17" operator="equal" stopIfTrue="1">
      <formula>"Nepostojeća oznaka vlasništva"</formula>
    </cfRule>
  </conditionalFormatting>
  <conditionalFormatting sqref="D7:N7">
    <cfRule type="cellIs" priority="11" dxfId="17" operator="equal" stopIfTrue="1">
      <formula>"Upisana je nepostojeća ili neprepoznatljiva vrsta poslovnog subjekta"</formula>
    </cfRule>
  </conditionalFormatting>
  <conditionalFormatting sqref="D39:G39">
    <cfRule type="cellIs" priority="12" dxfId="17" operator="equal" stopIfTrue="1">
      <formula>"Šifra grada/općine ne postoji"</formula>
    </cfRule>
  </conditionalFormatting>
  <dataValidations count="29">
    <dataValidation type="textLength" allowBlank="1" showInputMessage="1" showErrorMessage="1" errorTitle="Neispravan matični broj" error="Osobni identifikacijski broj unosi se na 11 znamenaka. Ispravite unos." sqref="L21:M21">
      <formula1>11</formula1>
      <formula2>11</formula2>
    </dataValidation>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F60 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DropDown="1" showInputMessage="1" showErrorMessage="1" sqref="I60">
      <formula1>"DA,NE"</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1.2016. godine. Kod upisa datuma, dan i mjesec, te mjesec i godina odvajaju se točkom, ali se točka ne stavlja iza godine." sqref="C4:D4">
      <formula1>42370</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showDropDown="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showDropDown="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DropDown="1"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6 I62">
      <formula1>"DA,NE"</formula1>
    </dataValidation>
    <dataValidation type="list" allowBlank="1" showInputMessage="1" showErrorMessage="1" errorTitle="Pogrešan upis" error="Dopuštena je samo oznaka DA ili NE velikim slovima." sqref="I64">
      <formula1>"DA,NE"</formula1>
    </dataValidation>
    <dataValidation type="list" allowBlank="1" showDropDown="1" showInputMessage="1" showErrorMessage="1" sqref="I54 I52 I58">
      <formula1>"DA,NE"</formula1>
    </dataValidation>
    <dataValidation type="textLength" allowBlank="1" showInputMessage="1" showErrorMessage="1" errorTitle="Pogrešna duljina OIB-a" error="OIB poslovnog subjekta mora biti duljine 11 znakova." sqref="C27:E27">
      <formula1>11</formula1>
      <formula2>11</formula2>
    </dataValidation>
    <dataValidation type="list" allowBlank="1" showInputMessage="1" showErrorMessage="1" sqref="C52">
      <formula1>$A$80:$A$87</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8515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05" t="s">
        <v>2610</v>
      </c>
      <c r="B1" s="54" t="s">
        <v>2609</v>
      </c>
      <c r="C1" s="54" t="s">
        <v>2612</v>
      </c>
      <c r="D1" s="54" t="s">
        <v>2027</v>
      </c>
      <c r="E1" s="54" t="s">
        <v>1209</v>
      </c>
      <c r="F1" s="54" t="s">
        <v>2463</v>
      </c>
      <c r="G1" s="54" t="s">
        <v>621</v>
      </c>
      <c r="H1" s="54" t="s">
        <v>622</v>
      </c>
      <c r="I1" s="54" t="s">
        <v>1210</v>
      </c>
      <c r="J1" s="55" t="s">
        <v>2611</v>
      </c>
      <c r="Q1" s="58">
        <f>MAX(Q2:Q3)</f>
        <v>1</v>
      </c>
      <c r="R1" s="57" t="s">
        <v>1208</v>
      </c>
    </row>
    <row r="2" spans="1:18" ht="19.5" customHeight="1">
      <c r="A2" s="401" t="s">
        <v>2136</v>
      </c>
      <c r="B2" s="402"/>
      <c r="C2" s="402"/>
      <c r="D2" s="402"/>
      <c r="E2" s="402"/>
      <c r="F2" s="402"/>
      <c r="G2" s="402"/>
      <c r="H2" s="402"/>
      <c r="I2" s="403"/>
      <c r="J2" s="399" t="s">
        <v>1426</v>
      </c>
      <c r="Q2" s="58">
        <f>IF(OR(MIN(I9:I57)&lt;0,MAX(I9:I57)&gt;0),1,0)</f>
        <v>1</v>
      </c>
      <c r="R2" s="57" t="s">
        <v>2327</v>
      </c>
    </row>
    <row r="3" spans="1:18" ht="19.5" customHeight="1" thickBot="1">
      <c r="A3" s="404" t="str">
        <f>"stanje na dan "&amp;IF(RefStr!F4&lt;&gt;"",TEXT(RefStr!F4,"DD.MM.YYYY."),"__.__.____.")</f>
        <v>stanje na dan 31.12.2016.</v>
      </c>
      <c r="B3" s="405"/>
      <c r="C3" s="405"/>
      <c r="D3" s="405"/>
      <c r="E3" s="405"/>
      <c r="F3" s="405"/>
      <c r="G3" s="405"/>
      <c r="H3" s="405"/>
      <c r="I3" s="406"/>
      <c r="J3" s="400"/>
      <c r="Q3" s="58">
        <f>IF(OR(MIN(J9:J57)&lt;0,MAX(J9:J57)&gt;0),1,0)</f>
        <v>1</v>
      </c>
      <c r="R3" s="57" t="s">
        <v>2328</v>
      </c>
    </row>
    <row r="4" spans="1:10" ht="4.5" customHeight="1">
      <c r="A4" s="59"/>
      <c r="B4" s="61"/>
      <c r="C4" s="61"/>
      <c r="D4" s="61"/>
      <c r="E4" s="61"/>
      <c r="F4" s="61"/>
      <c r="G4" s="61"/>
      <c r="H4" s="61"/>
      <c r="I4" s="61"/>
      <c r="J4" s="60"/>
    </row>
    <row r="5" spans="1:18" ht="19.5" customHeight="1">
      <c r="A5" s="407" t="str">
        <f>"Obveznik: "&amp;IF(RefStr!C27&lt;&gt;"",RefStr!C27,"________")&amp;";   "&amp;IF(RefStr!C29&lt;&gt;"",RefStr!C29,"_____________________________________________________________")&amp;";   "&amp;IF(RefStr!F31&lt;&gt;"",RefStr!F31,"_______________")</f>
        <v>Obveznik: 32247795989;   Croatia banka d.d.;   Zagreb</v>
      </c>
      <c r="B5" s="408"/>
      <c r="C5" s="408"/>
      <c r="D5" s="408"/>
      <c r="E5" s="408"/>
      <c r="F5" s="408"/>
      <c r="G5" s="408"/>
      <c r="H5" s="408"/>
      <c r="I5" s="408"/>
      <c r="J5" s="409"/>
      <c r="Q5" s="2">
        <f>IF(OR(MIN(I55:I57)&lt;&gt;0,MAX(I55:I57)&lt;&gt;0),1,0)</f>
        <v>0</v>
      </c>
      <c r="R5" s="57" t="s">
        <v>2269</v>
      </c>
    </row>
    <row r="6" spans="1:18" ht="24.75" customHeight="1" thickBot="1">
      <c r="A6" s="410" t="s">
        <v>1605</v>
      </c>
      <c r="B6" s="411"/>
      <c r="C6" s="411"/>
      <c r="D6" s="411"/>
      <c r="E6" s="411"/>
      <c r="F6" s="411"/>
      <c r="G6" s="75" t="s">
        <v>2728</v>
      </c>
      <c r="H6" s="75" t="s">
        <v>1446</v>
      </c>
      <c r="I6" s="75" t="s">
        <v>2740</v>
      </c>
      <c r="J6" s="76" t="s">
        <v>2741</v>
      </c>
      <c r="Q6" s="2">
        <f>IF(OR(MIN(J55:J57)&lt;&gt;0,MAX(J55:J57)&lt;&gt;0),1,0)</f>
        <v>0</v>
      </c>
      <c r="R6" s="57" t="s">
        <v>2270</v>
      </c>
    </row>
    <row r="7" spans="1:10" ht="13.5" customHeight="1">
      <c r="A7" s="412">
        <v>1</v>
      </c>
      <c r="B7" s="413"/>
      <c r="C7" s="413"/>
      <c r="D7" s="413"/>
      <c r="E7" s="413"/>
      <c r="F7" s="413"/>
      <c r="G7" s="78">
        <v>2</v>
      </c>
      <c r="H7" s="78">
        <v>3</v>
      </c>
      <c r="I7" s="77">
        <v>4</v>
      </c>
      <c r="J7" s="79">
        <v>5</v>
      </c>
    </row>
    <row r="8" spans="1:10" ht="13.5" customHeight="1">
      <c r="A8" s="414" t="s">
        <v>599</v>
      </c>
      <c r="B8" s="415"/>
      <c r="C8" s="415"/>
      <c r="D8" s="415"/>
      <c r="E8" s="415"/>
      <c r="F8" s="415"/>
      <c r="G8" s="415"/>
      <c r="H8" s="415"/>
      <c r="I8" s="415"/>
      <c r="J8" s="415"/>
    </row>
    <row r="9" spans="1:14" ht="13.5" customHeight="1">
      <c r="A9" s="394" t="s">
        <v>1967</v>
      </c>
      <c r="B9" s="394"/>
      <c r="C9" s="394"/>
      <c r="D9" s="394"/>
      <c r="E9" s="394"/>
      <c r="F9" s="394"/>
      <c r="G9" s="215">
        <v>1</v>
      </c>
      <c r="H9" s="216"/>
      <c r="I9" s="237">
        <f>SUM(I10:I11)</f>
        <v>277960677</v>
      </c>
      <c r="J9" s="237">
        <f>SUM(J10:J11)</f>
        <v>449721148</v>
      </c>
      <c r="N9" s="58"/>
    </row>
    <row r="10" spans="1:10" ht="13.5" customHeight="1">
      <c r="A10" s="395" t="s">
        <v>1982</v>
      </c>
      <c r="B10" s="395"/>
      <c r="C10" s="395"/>
      <c r="D10" s="395"/>
      <c r="E10" s="395"/>
      <c r="F10" s="395"/>
      <c r="G10" s="215">
        <v>2</v>
      </c>
      <c r="H10" s="216"/>
      <c r="I10" s="214">
        <v>27497604</v>
      </c>
      <c r="J10" s="214">
        <v>20866468</v>
      </c>
    </row>
    <row r="11" spans="1:10" ht="13.5" customHeight="1">
      <c r="A11" s="395" t="s">
        <v>1981</v>
      </c>
      <c r="B11" s="395"/>
      <c r="C11" s="395"/>
      <c r="D11" s="395"/>
      <c r="E11" s="395"/>
      <c r="F11" s="395"/>
      <c r="G11" s="215">
        <v>3</v>
      </c>
      <c r="H11" s="216"/>
      <c r="I11" s="214">
        <v>250463073</v>
      </c>
      <c r="J11" s="214">
        <v>428854680</v>
      </c>
    </row>
    <row r="12" spans="1:10" ht="13.5" customHeight="1">
      <c r="A12" s="396" t="s">
        <v>1980</v>
      </c>
      <c r="B12" s="396"/>
      <c r="C12" s="396"/>
      <c r="D12" s="396"/>
      <c r="E12" s="396"/>
      <c r="F12" s="396"/>
      <c r="G12" s="215">
        <v>4</v>
      </c>
      <c r="H12" s="216"/>
      <c r="I12" s="214">
        <v>103293181</v>
      </c>
      <c r="J12" s="214">
        <v>77162468</v>
      </c>
    </row>
    <row r="13" spans="1:10" ht="13.5" customHeight="1">
      <c r="A13" s="416" t="s">
        <v>1979</v>
      </c>
      <c r="B13" s="416"/>
      <c r="C13" s="416"/>
      <c r="D13" s="416"/>
      <c r="E13" s="416"/>
      <c r="F13" s="416"/>
      <c r="G13" s="215">
        <v>5</v>
      </c>
      <c r="H13" s="216"/>
      <c r="I13" s="214">
        <v>520301536</v>
      </c>
      <c r="J13" s="214">
        <v>498257038</v>
      </c>
    </row>
    <row r="14" spans="1:10" ht="13.5" customHeight="1">
      <c r="A14" s="416" t="s">
        <v>1978</v>
      </c>
      <c r="B14" s="416"/>
      <c r="C14" s="416"/>
      <c r="D14" s="416"/>
      <c r="E14" s="416"/>
      <c r="F14" s="416"/>
      <c r="G14" s="215">
        <v>6</v>
      </c>
      <c r="H14" s="216"/>
      <c r="I14" s="214">
        <v>0</v>
      </c>
      <c r="J14" s="214">
        <v>0</v>
      </c>
    </row>
    <row r="15" spans="1:10" ht="13.5" customHeight="1">
      <c r="A15" s="416" t="s">
        <v>1977</v>
      </c>
      <c r="B15" s="416"/>
      <c r="C15" s="416"/>
      <c r="D15" s="416"/>
      <c r="E15" s="416"/>
      <c r="F15" s="416"/>
      <c r="G15" s="215">
        <v>7</v>
      </c>
      <c r="H15" s="216"/>
      <c r="I15" s="214">
        <v>154135314</v>
      </c>
      <c r="J15" s="214">
        <v>328460009</v>
      </c>
    </row>
    <row r="16" spans="1:10" ht="13.5" customHeight="1">
      <c r="A16" s="416" t="s">
        <v>1976</v>
      </c>
      <c r="B16" s="416"/>
      <c r="C16" s="416"/>
      <c r="D16" s="416"/>
      <c r="E16" s="416"/>
      <c r="F16" s="416"/>
      <c r="G16" s="215">
        <v>8</v>
      </c>
      <c r="H16" s="216"/>
      <c r="I16" s="214">
        <v>48377981</v>
      </c>
      <c r="J16" s="214">
        <v>51124171</v>
      </c>
    </row>
    <row r="17" spans="1:10" ht="24.75" customHeight="1">
      <c r="A17" s="416" t="s">
        <v>1975</v>
      </c>
      <c r="B17" s="416"/>
      <c r="C17" s="416"/>
      <c r="D17" s="416"/>
      <c r="E17" s="416"/>
      <c r="F17" s="416"/>
      <c r="G17" s="215">
        <v>9</v>
      </c>
      <c r="H17" s="216"/>
      <c r="I17" s="214">
        <v>0</v>
      </c>
      <c r="J17" s="214">
        <v>0</v>
      </c>
    </row>
    <row r="18" spans="1:10" ht="13.5" customHeight="1">
      <c r="A18" s="416" t="s">
        <v>1974</v>
      </c>
      <c r="B18" s="416"/>
      <c r="C18" s="416"/>
      <c r="D18" s="416"/>
      <c r="E18" s="416"/>
      <c r="F18" s="416"/>
      <c r="G18" s="215">
        <v>10</v>
      </c>
      <c r="H18" s="216"/>
      <c r="I18" s="214">
        <v>0</v>
      </c>
      <c r="J18" s="214">
        <v>0</v>
      </c>
    </row>
    <row r="19" spans="1:10" ht="13.5" customHeight="1">
      <c r="A19" s="416" t="s">
        <v>1973</v>
      </c>
      <c r="B19" s="416"/>
      <c r="C19" s="416"/>
      <c r="D19" s="416"/>
      <c r="E19" s="416"/>
      <c r="F19" s="416"/>
      <c r="G19" s="215">
        <v>11</v>
      </c>
      <c r="H19" s="216"/>
      <c r="I19" s="214">
        <v>25366388</v>
      </c>
      <c r="J19" s="214">
        <v>25564278</v>
      </c>
    </row>
    <row r="20" spans="1:10" ht="13.5" customHeight="1">
      <c r="A20" s="416" t="s">
        <v>1972</v>
      </c>
      <c r="B20" s="416"/>
      <c r="C20" s="416"/>
      <c r="D20" s="416"/>
      <c r="E20" s="416"/>
      <c r="F20" s="416"/>
      <c r="G20" s="215">
        <v>12</v>
      </c>
      <c r="H20" s="216"/>
      <c r="I20" s="214">
        <v>1887605214</v>
      </c>
      <c r="J20" s="214">
        <v>1582720211</v>
      </c>
    </row>
    <row r="21" spans="1:10" ht="13.5" customHeight="1">
      <c r="A21" s="416" t="s">
        <v>1971</v>
      </c>
      <c r="B21" s="416"/>
      <c r="C21" s="416"/>
      <c r="D21" s="416"/>
      <c r="E21" s="416"/>
      <c r="F21" s="416"/>
      <c r="G21" s="215">
        <v>13</v>
      </c>
      <c r="H21" s="216"/>
      <c r="I21" s="214">
        <v>0</v>
      </c>
      <c r="J21" s="214">
        <v>0</v>
      </c>
    </row>
    <row r="22" spans="1:10" ht="13.5" customHeight="1">
      <c r="A22" s="416" t="s">
        <v>1970</v>
      </c>
      <c r="B22" s="416"/>
      <c r="C22" s="416"/>
      <c r="D22" s="416"/>
      <c r="E22" s="416"/>
      <c r="F22" s="416"/>
      <c r="G22" s="215">
        <v>14</v>
      </c>
      <c r="H22" s="216"/>
      <c r="I22" s="214">
        <v>60233726</v>
      </c>
      <c r="J22" s="214">
        <v>57091859</v>
      </c>
    </row>
    <row r="23" spans="1:10" ht="13.5" customHeight="1">
      <c r="A23" s="416" t="s">
        <v>1969</v>
      </c>
      <c r="B23" s="416"/>
      <c r="C23" s="416"/>
      <c r="D23" s="416"/>
      <c r="E23" s="416"/>
      <c r="F23" s="416"/>
      <c r="G23" s="215">
        <v>15</v>
      </c>
      <c r="H23" s="216"/>
      <c r="I23" s="214">
        <v>15706317</v>
      </c>
      <c r="J23" s="214">
        <v>13503708</v>
      </c>
    </row>
    <row r="24" spans="1:10" ht="13.5" customHeight="1">
      <c r="A24" s="416" t="s">
        <v>1968</v>
      </c>
      <c r="B24" s="416"/>
      <c r="C24" s="416"/>
      <c r="D24" s="416"/>
      <c r="E24" s="416"/>
      <c r="F24" s="416"/>
      <c r="G24" s="215">
        <v>16</v>
      </c>
      <c r="H24" s="216"/>
      <c r="I24" s="214">
        <v>19292632</v>
      </c>
      <c r="J24" s="214">
        <v>40585054</v>
      </c>
    </row>
    <row r="25" spans="1:10" ht="13.5" customHeight="1">
      <c r="A25" s="417" t="s">
        <v>2729</v>
      </c>
      <c r="B25" s="417"/>
      <c r="C25" s="417"/>
      <c r="D25" s="417"/>
      <c r="E25" s="417"/>
      <c r="F25" s="417"/>
      <c r="G25" s="241">
        <v>17</v>
      </c>
      <c r="H25" s="220"/>
      <c r="I25" s="238">
        <f>SUM(I12:I24)+I9</f>
        <v>3112272966</v>
      </c>
      <c r="J25" s="238">
        <f>SUM(J12:J24)+J9</f>
        <v>3124189944</v>
      </c>
    </row>
    <row r="26" spans="1:10" ht="15" customHeight="1">
      <c r="A26" s="414" t="s">
        <v>600</v>
      </c>
      <c r="B26" s="415"/>
      <c r="C26" s="415"/>
      <c r="D26" s="415"/>
      <c r="E26" s="415"/>
      <c r="F26" s="415"/>
      <c r="G26" s="415"/>
      <c r="H26" s="415"/>
      <c r="I26" s="415"/>
      <c r="J26" s="415"/>
    </row>
    <row r="27" spans="1:10" ht="13.5" customHeight="1">
      <c r="A27" s="397" t="s">
        <v>87</v>
      </c>
      <c r="B27" s="398"/>
      <c r="C27" s="398"/>
      <c r="D27" s="398"/>
      <c r="E27" s="398"/>
      <c r="F27" s="398"/>
      <c r="G27" s="217">
        <v>18</v>
      </c>
      <c r="H27" s="216"/>
      <c r="I27" s="237">
        <f>SUM(I28:I29)</f>
        <v>292930500</v>
      </c>
      <c r="J27" s="237">
        <f>SUM(J28:J29)</f>
        <v>290320166</v>
      </c>
    </row>
    <row r="28" spans="1:10" ht="13.5" customHeight="1">
      <c r="A28" s="398" t="s">
        <v>92</v>
      </c>
      <c r="B28" s="398"/>
      <c r="C28" s="398"/>
      <c r="D28" s="398"/>
      <c r="E28" s="398"/>
      <c r="F28" s="398"/>
      <c r="G28" s="217">
        <v>19</v>
      </c>
      <c r="H28" s="216"/>
      <c r="I28" s="213">
        <v>130000000</v>
      </c>
      <c r="J28" s="213">
        <v>163910763</v>
      </c>
    </row>
    <row r="29" spans="1:10" ht="13.5" customHeight="1">
      <c r="A29" s="398" t="s">
        <v>93</v>
      </c>
      <c r="B29" s="398"/>
      <c r="C29" s="398"/>
      <c r="D29" s="398"/>
      <c r="E29" s="398"/>
      <c r="F29" s="398"/>
      <c r="G29" s="217">
        <v>20</v>
      </c>
      <c r="H29" s="216"/>
      <c r="I29" s="213">
        <v>162930500</v>
      </c>
      <c r="J29" s="213">
        <v>126409403</v>
      </c>
    </row>
    <row r="30" spans="1:10" ht="13.5" customHeight="1">
      <c r="A30" s="397" t="s">
        <v>88</v>
      </c>
      <c r="B30" s="398"/>
      <c r="C30" s="398"/>
      <c r="D30" s="398"/>
      <c r="E30" s="398"/>
      <c r="F30" s="398"/>
      <c r="G30" s="217">
        <v>21</v>
      </c>
      <c r="H30" s="216"/>
      <c r="I30" s="237">
        <f>SUM(I31:I33)</f>
        <v>2567742565</v>
      </c>
      <c r="J30" s="237">
        <f>SUM(J31:J33)</f>
        <v>2541630879</v>
      </c>
    </row>
    <row r="31" spans="1:10" ht="13.5" customHeight="1">
      <c r="A31" s="398" t="s">
        <v>94</v>
      </c>
      <c r="B31" s="398"/>
      <c r="C31" s="398"/>
      <c r="D31" s="398"/>
      <c r="E31" s="398"/>
      <c r="F31" s="398"/>
      <c r="G31" s="217">
        <v>22</v>
      </c>
      <c r="H31" s="216"/>
      <c r="I31" s="213">
        <v>364667464</v>
      </c>
      <c r="J31" s="213">
        <v>338668644</v>
      </c>
    </row>
    <row r="32" spans="1:10" ht="13.5" customHeight="1">
      <c r="A32" s="398" t="s">
        <v>95</v>
      </c>
      <c r="B32" s="398"/>
      <c r="C32" s="398"/>
      <c r="D32" s="398"/>
      <c r="E32" s="398"/>
      <c r="F32" s="398"/>
      <c r="G32" s="217">
        <v>23</v>
      </c>
      <c r="H32" s="216"/>
      <c r="I32" s="213">
        <v>127766859</v>
      </c>
      <c r="J32" s="213">
        <v>117805965</v>
      </c>
    </row>
    <row r="33" spans="1:10" ht="13.5" customHeight="1">
      <c r="A33" s="398" t="s">
        <v>96</v>
      </c>
      <c r="B33" s="398"/>
      <c r="C33" s="398"/>
      <c r="D33" s="398"/>
      <c r="E33" s="398"/>
      <c r="F33" s="398"/>
      <c r="G33" s="217">
        <v>24</v>
      </c>
      <c r="H33" s="216"/>
      <c r="I33" s="213">
        <v>2075308242</v>
      </c>
      <c r="J33" s="213">
        <v>2085156270</v>
      </c>
    </row>
    <row r="34" spans="1:10" ht="13.5" customHeight="1">
      <c r="A34" s="397" t="s">
        <v>89</v>
      </c>
      <c r="B34" s="398"/>
      <c r="C34" s="398"/>
      <c r="D34" s="398"/>
      <c r="E34" s="398"/>
      <c r="F34" s="398"/>
      <c r="G34" s="217">
        <v>25</v>
      </c>
      <c r="H34" s="216"/>
      <c r="I34" s="237">
        <f>SUM(I35:I36)</f>
        <v>0</v>
      </c>
      <c r="J34" s="237">
        <f>SUM(J35:J36)</f>
        <v>0</v>
      </c>
    </row>
    <row r="35" spans="1:10" ht="13.5" customHeight="1">
      <c r="A35" s="398" t="s">
        <v>97</v>
      </c>
      <c r="B35" s="398"/>
      <c r="C35" s="398"/>
      <c r="D35" s="398"/>
      <c r="E35" s="398"/>
      <c r="F35" s="398"/>
      <c r="G35" s="217">
        <v>26</v>
      </c>
      <c r="H35" s="216"/>
      <c r="I35" s="213">
        <v>0</v>
      </c>
      <c r="J35" s="213">
        <v>0</v>
      </c>
    </row>
    <row r="36" spans="1:10" ht="13.5" customHeight="1">
      <c r="A36" s="398" t="s">
        <v>98</v>
      </c>
      <c r="B36" s="398"/>
      <c r="C36" s="398"/>
      <c r="D36" s="398"/>
      <c r="E36" s="398"/>
      <c r="F36" s="398"/>
      <c r="G36" s="217">
        <v>27</v>
      </c>
      <c r="H36" s="216"/>
      <c r="I36" s="213">
        <v>0</v>
      </c>
      <c r="J36" s="213">
        <v>0</v>
      </c>
    </row>
    <row r="37" spans="1:10" ht="13.5" customHeight="1">
      <c r="A37" s="397" t="s">
        <v>90</v>
      </c>
      <c r="B37" s="397"/>
      <c r="C37" s="397"/>
      <c r="D37" s="397"/>
      <c r="E37" s="397"/>
      <c r="F37" s="397"/>
      <c r="G37" s="217">
        <v>28</v>
      </c>
      <c r="H37" s="216"/>
      <c r="I37" s="213">
        <v>2586</v>
      </c>
      <c r="J37" s="213">
        <v>0</v>
      </c>
    </row>
    <row r="38" spans="1:10" ht="13.5" customHeight="1">
      <c r="A38" s="397" t="s">
        <v>91</v>
      </c>
      <c r="B38" s="398"/>
      <c r="C38" s="398"/>
      <c r="D38" s="398"/>
      <c r="E38" s="398"/>
      <c r="F38" s="398"/>
      <c r="G38" s="217">
        <v>29</v>
      </c>
      <c r="H38" s="216"/>
      <c r="I38" s="237">
        <f>SUM(I39:I40)</f>
        <v>0</v>
      </c>
      <c r="J38" s="237">
        <f>SUM(J39:J40)</f>
        <v>0</v>
      </c>
    </row>
    <row r="39" spans="1:10" ht="13.5" customHeight="1">
      <c r="A39" s="398" t="s">
        <v>99</v>
      </c>
      <c r="B39" s="398"/>
      <c r="C39" s="398"/>
      <c r="D39" s="398"/>
      <c r="E39" s="398"/>
      <c r="F39" s="398"/>
      <c r="G39" s="217">
        <v>30</v>
      </c>
      <c r="H39" s="216"/>
      <c r="I39" s="213">
        <v>0</v>
      </c>
      <c r="J39" s="213">
        <v>0</v>
      </c>
    </row>
    <row r="40" spans="1:10" ht="13.5" customHeight="1">
      <c r="A40" s="398" t="s">
        <v>100</v>
      </c>
      <c r="B40" s="398"/>
      <c r="C40" s="398"/>
      <c r="D40" s="398"/>
      <c r="E40" s="398"/>
      <c r="F40" s="398"/>
      <c r="G40" s="217">
        <v>31</v>
      </c>
      <c r="H40" s="216"/>
      <c r="I40" s="213">
        <v>0</v>
      </c>
      <c r="J40" s="213">
        <v>0</v>
      </c>
    </row>
    <row r="41" spans="1:10" ht="13.5" customHeight="1">
      <c r="A41" s="397" t="s">
        <v>101</v>
      </c>
      <c r="B41" s="397"/>
      <c r="C41" s="397"/>
      <c r="D41" s="397"/>
      <c r="E41" s="397"/>
      <c r="F41" s="397"/>
      <c r="G41" s="217">
        <v>32</v>
      </c>
      <c r="H41" s="216"/>
      <c r="I41" s="213">
        <v>0</v>
      </c>
      <c r="J41" s="213">
        <v>0</v>
      </c>
    </row>
    <row r="42" spans="1:10" ht="13.5" customHeight="1">
      <c r="A42" s="397" t="s">
        <v>102</v>
      </c>
      <c r="B42" s="397"/>
      <c r="C42" s="397"/>
      <c r="D42" s="397"/>
      <c r="E42" s="397"/>
      <c r="F42" s="397"/>
      <c r="G42" s="217">
        <v>33</v>
      </c>
      <c r="H42" s="216"/>
      <c r="I42" s="213">
        <v>0</v>
      </c>
      <c r="J42" s="213">
        <v>0</v>
      </c>
    </row>
    <row r="43" spans="1:10" ht="13.5" customHeight="1">
      <c r="A43" s="397" t="s">
        <v>103</v>
      </c>
      <c r="B43" s="397"/>
      <c r="C43" s="397"/>
      <c r="D43" s="397"/>
      <c r="E43" s="397"/>
      <c r="F43" s="397"/>
      <c r="G43" s="217">
        <v>34</v>
      </c>
      <c r="H43" s="216"/>
      <c r="I43" s="213">
        <v>69566285</v>
      </c>
      <c r="J43" s="213">
        <v>102603898</v>
      </c>
    </row>
    <row r="44" spans="1:10" ht="13.5" customHeight="1">
      <c r="A44" s="420" t="s">
        <v>19</v>
      </c>
      <c r="B44" s="421"/>
      <c r="C44" s="421"/>
      <c r="D44" s="421"/>
      <c r="E44" s="421"/>
      <c r="F44" s="421"/>
      <c r="G44" s="219">
        <v>35</v>
      </c>
      <c r="H44" s="220"/>
      <c r="I44" s="238">
        <f>I27+I30+I34+I37+I38+I41+I42+I43</f>
        <v>2930241936</v>
      </c>
      <c r="J44" s="238">
        <f>J27+J30+J34+J37+J38+J41+J42+J43</f>
        <v>2934554943</v>
      </c>
    </row>
    <row r="45" spans="1:10" ht="13.5" customHeight="1">
      <c r="A45" s="418" t="s">
        <v>601</v>
      </c>
      <c r="B45" s="419"/>
      <c r="C45" s="419"/>
      <c r="D45" s="419"/>
      <c r="E45" s="419"/>
      <c r="F45" s="419"/>
      <c r="G45" s="419"/>
      <c r="H45" s="419"/>
      <c r="I45" s="419"/>
      <c r="J45" s="419"/>
    </row>
    <row r="46" spans="1:10" ht="13.5" customHeight="1">
      <c r="A46" s="398" t="s">
        <v>1983</v>
      </c>
      <c r="B46" s="398"/>
      <c r="C46" s="398"/>
      <c r="D46" s="398"/>
      <c r="E46" s="398"/>
      <c r="F46" s="398"/>
      <c r="G46" s="217">
        <v>36</v>
      </c>
      <c r="H46" s="216"/>
      <c r="I46" s="214">
        <v>474600000</v>
      </c>
      <c r="J46" s="214">
        <v>474600000</v>
      </c>
    </row>
    <row r="47" spans="1:10" ht="13.5" customHeight="1">
      <c r="A47" s="398" t="s">
        <v>1984</v>
      </c>
      <c r="B47" s="398"/>
      <c r="C47" s="398"/>
      <c r="D47" s="398"/>
      <c r="E47" s="398"/>
      <c r="F47" s="398"/>
      <c r="G47" s="217">
        <v>37</v>
      </c>
      <c r="H47" s="218"/>
      <c r="I47" s="214">
        <v>-15133785</v>
      </c>
      <c r="J47" s="214">
        <v>1638111</v>
      </c>
    </row>
    <row r="48" spans="1:10" ht="13.5" customHeight="1">
      <c r="A48" s="398" t="s">
        <v>1985</v>
      </c>
      <c r="B48" s="398"/>
      <c r="C48" s="398"/>
      <c r="D48" s="398"/>
      <c r="E48" s="398"/>
      <c r="F48" s="398"/>
      <c r="G48" s="217">
        <v>38</v>
      </c>
      <c r="H48" s="218"/>
      <c r="I48" s="214">
        <v>-277040383</v>
      </c>
      <c r="J48" s="214">
        <v>-292174168</v>
      </c>
    </row>
    <row r="49" spans="1:10" ht="13.5" customHeight="1">
      <c r="A49" s="398" t="s">
        <v>1986</v>
      </c>
      <c r="B49" s="398"/>
      <c r="C49" s="398"/>
      <c r="D49" s="398"/>
      <c r="E49" s="398"/>
      <c r="F49" s="398"/>
      <c r="G49" s="217">
        <v>39</v>
      </c>
      <c r="H49" s="216"/>
      <c r="I49" s="214">
        <v>0</v>
      </c>
      <c r="J49" s="214">
        <v>0</v>
      </c>
    </row>
    <row r="50" spans="1:10" ht="13.5" customHeight="1">
      <c r="A50" s="398" t="s">
        <v>1987</v>
      </c>
      <c r="B50" s="398"/>
      <c r="C50" s="398"/>
      <c r="D50" s="398"/>
      <c r="E50" s="398"/>
      <c r="F50" s="398"/>
      <c r="G50" s="217">
        <v>40</v>
      </c>
      <c r="H50" s="216"/>
      <c r="I50" s="214">
        <v>0</v>
      </c>
      <c r="J50" s="214">
        <v>0</v>
      </c>
    </row>
    <row r="51" spans="1:10" ht="24.75" customHeight="1">
      <c r="A51" s="398" t="s">
        <v>2165</v>
      </c>
      <c r="B51" s="398"/>
      <c r="C51" s="398"/>
      <c r="D51" s="398"/>
      <c r="E51" s="398"/>
      <c r="F51" s="398"/>
      <c r="G51" s="217">
        <v>41</v>
      </c>
      <c r="H51" s="218"/>
      <c r="I51" s="214">
        <v>-394802</v>
      </c>
      <c r="J51" s="214">
        <v>5571058</v>
      </c>
    </row>
    <row r="52" spans="1:10" ht="13.5" customHeight="1">
      <c r="A52" s="426" t="s">
        <v>1988</v>
      </c>
      <c r="B52" s="426"/>
      <c r="C52" s="426"/>
      <c r="D52" s="426"/>
      <c r="E52" s="426"/>
      <c r="F52" s="426"/>
      <c r="G52" s="217">
        <v>42</v>
      </c>
      <c r="H52" s="218"/>
      <c r="I52" s="237">
        <f>SUM(I46:I51)</f>
        <v>182031030</v>
      </c>
      <c r="J52" s="237">
        <f>SUM(J46:J51)</f>
        <v>189635001</v>
      </c>
    </row>
    <row r="53" spans="1:10" ht="13.5" customHeight="1">
      <c r="A53" s="420" t="s">
        <v>1989</v>
      </c>
      <c r="B53" s="421"/>
      <c r="C53" s="421"/>
      <c r="D53" s="421"/>
      <c r="E53" s="421"/>
      <c r="F53" s="421"/>
      <c r="G53" s="219">
        <v>43</v>
      </c>
      <c r="H53" s="220"/>
      <c r="I53" s="238">
        <f>I44+I52</f>
        <v>3112272966</v>
      </c>
      <c r="J53" s="238">
        <f>J44+J52</f>
        <v>3124189944</v>
      </c>
    </row>
    <row r="54" spans="1:10" ht="13.5" customHeight="1">
      <c r="A54" s="418" t="s">
        <v>756</v>
      </c>
      <c r="B54" s="418"/>
      <c r="C54" s="418"/>
      <c r="D54" s="418"/>
      <c r="E54" s="418"/>
      <c r="F54" s="418"/>
      <c r="G54" s="425"/>
      <c r="H54" s="425"/>
      <c r="I54" s="425"/>
      <c r="J54" s="425"/>
    </row>
    <row r="55" spans="1:10" ht="13.5" customHeight="1">
      <c r="A55" s="422" t="s">
        <v>757</v>
      </c>
      <c r="B55" s="422"/>
      <c r="C55" s="422"/>
      <c r="D55" s="422"/>
      <c r="E55" s="422"/>
      <c r="F55" s="422"/>
      <c r="G55" s="217">
        <v>44</v>
      </c>
      <c r="H55" s="216"/>
      <c r="I55" s="237">
        <f>IF(RefStr!$C21="DA",I52,0)</f>
        <v>0</v>
      </c>
      <c r="J55" s="237">
        <f>IF(RefStr!$C21="DA",J52,0)</f>
        <v>0</v>
      </c>
    </row>
    <row r="56" spans="1:10" ht="13.5" customHeight="1">
      <c r="A56" s="423" t="s">
        <v>1990</v>
      </c>
      <c r="B56" s="423"/>
      <c r="C56" s="423"/>
      <c r="D56" s="423"/>
      <c r="E56" s="423"/>
      <c r="F56" s="423"/>
      <c r="G56" s="217">
        <v>45</v>
      </c>
      <c r="H56" s="216"/>
      <c r="I56" s="214"/>
      <c r="J56" s="214"/>
    </row>
    <row r="57" spans="1:10" ht="13.5" customHeight="1">
      <c r="A57" s="424" t="s">
        <v>1991</v>
      </c>
      <c r="B57" s="424"/>
      <c r="C57" s="424"/>
      <c r="D57" s="424"/>
      <c r="E57" s="424"/>
      <c r="F57" s="424"/>
      <c r="G57" s="219">
        <v>46</v>
      </c>
      <c r="H57" s="220"/>
      <c r="I57" s="238">
        <f>I55-I56</f>
        <v>0</v>
      </c>
      <c r="J57" s="238">
        <f>J55-J56</f>
        <v>0</v>
      </c>
    </row>
    <row r="58" ht="4.5" customHeight="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sheetData>
  <sheetProtection password="C79A" sheet="1" objects="1" scenarios="1"/>
  <mergeCells count="56">
    <mergeCell ref="A55:F55"/>
    <mergeCell ref="A56:F56"/>
    <mergeCell ref="A57:F57"/>
    <mergeCell ref="A48:F48"/>
    <mergeCell ref="A54:J54"/>
    <mergeCell ref="A49:F49"/>
    <mergeCell ref="A50:F50"/>
    <mergeCell ref="A51:F51"/>
    <mergeCell ref="A52:F52"/>
    <mergeCell ref="A53:F53"/>
    <mergeCell ref="A39:F39"/>
    <mergeCell ref="A40:F40"/>
    <mergeCell ref="A41:F41"/>
    <mergeCell ref="A42:F42"/>
    <mergeCell ref="A43:F43"/>
    <mergeCell ref="A44:F44"/>
    <mergeCell ref="A46:F46"/>
    <mergeCell ref="A47:F47"/>
    <mergeCell ref="A45:J45"/>
    <mergeCell ref="A20:F20"/>
    <mergeCell ref="A38:F38"/>
    <mergeCell ref="A37:F37"/>
    <mergeCell ref="A30:F30"/>
    <mergeCell ref="A31:F31"/>
    <mergeCell ref="A32:F32"/>
    <mergeCell ref="A33:F33"/>
    <mergeCell ref="A36:F36"/>
    <mergeCell ref="A15:F15"/>
    <mergeCell ref="A17:F17"/>
    <mergeCell ref="A18:F18"/>
    <mergeCell ref="A19:F19"/>
    <mergeCell ref="A16:F16"/>
    <mergeCell ref="A28:F28"/>
    <mergeCell ref="A29:F29"/>
    <mergeCell ref="A23:F23"/>
    <mergeCell ref="A24:F24"/>
    <mergeCell ref="A25:F25"/>
    <mergeCell ref="A26:J26"/>
    <mergeCell ref="A34:F34"/>
    <mergeCell ref="A35:F35"/>
    <mergeCell ref="A7:F7"/>
    <mergeCell ref="A8:J8"/>
    <mergeCell ref="A14:F14"/>
    <mergeCell ref="A13:F13"/>
    <mergeCell ref="A21:F21"/>
    <mergeCell ref="A22:F22"/>
    <mergeCell ref="A9:F9"/>
    <mergeCell ref="A10:F10"/>
    <mergeCell ref="A11:F11"/>
    <mergeCell ref="A12:F12"/>
    <mergeCell ref="A27:F27"/>
    <mergeCell ref="J2:J3"/>
    <mergeCell ref="A2:I2"/>
    <mergeCell ref="A3:I3"/>
    <mergeCell ref="A5:J5"/>
    <mergeCell ref="A6:F6"/>
  </mergeCells>
  <conditionalFormatting sqref="H46:H53">
    <cfRule type="cellIs" priority="1" dxfId="1" operator="lessThan" stopIfTrue="1">
      <formula>0</formula>
    </cfRule>
  </conditionalFormatting>
  <conditionalFormatting sqref="I9:J25 I27:J44 I46:J46 I49:J49">
    <cfRule type="cellIs" priority="2" dxfId="2" operator="notEqual" stopIfTrue="1">
      <formula>ROUND(I9,0)</formula>
    </cfRule>
    <cfRule type="cellIs" priority="3" dxfId="1" operator="lessThan" stopIfTrue="1">
      <formula>0</formula>
    </cfRule>
  </conditionalFormatting>
  <conditionalFormatting sqref="I47:J48 I55:J57 I50:J53">
    <cfRule type="cellIs" priority="4" dxfId="2" operator="notEqual" stopIfTrue="1">
      <formula>ROUND(I47,0)</formula>
    </cfRule>
  </conditionalFormatting>
  <dataValidations count="4">
    <dataValidation type="textLength" operator="lessThan" allowBlank="1" showInputMessage="1" showErrorMessage="1" errorTitle="Redni broj bilješke" error="Redni broj bilješke mora biti text duljine najviše 10 znakova." sqref="H9:H25 H55:H57 H27:H44">
      <formula1>10</formula1>
    </dataValidation>
    <dataValidation type="whole" operator="greaterThanOrEqual" allowBlank="1" showInputMessage="1" showErrorMessage="1" errorTitle="Nedopušten unos" error="Dopušten je unos samo pozitivnih cjelobrojnih vrijednosti ili nule." sqref="I9:J25 I27:J44 I46:J46 I49:J49">
      <formula1>0</formula1>
    </dataValidation>
    <dataValidation type="whole" operator="notEqual" allowBlank="1" showInputMessage="1" showErrorMessage="1" errorTitle="Nedopušten upis" error="Dopušten je upis samo cjelobrojnih vrijednosti." sqref="I47:J48 I51:J53 I55:J57">
      <formula1>9999999999</formula1>
    </dataValidation>
    <dataValidation type="whole" operator="notEqual" allowBlank="1" showInputMessage="1" showErrorMessage="1" errorTitle="Nedopušten unos" error="Dopušten je unos samo cjelobrojnih (pozitivnih ili negativnih) vrijednosti ili nule." sqref="I50:J5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0" fitToWidth="1" horizontalDpi="1200" verticalDpi="12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8515625" style="65" customWidth="1"/>
    <col min="7" max="8" width="5.7109375" style="65" customWidth="1"/>
    <col min="9" max="10" width="14.7109375" style="65" customWidth="1"/>
    <col min="11" max="11" width="0.85546875" style="65" customWidth="1"/>
    <col min="12" max="12" width="9.140625" style="65" hidden="1" customWidth="1"/>
    <col min="13" max="13" width="8.7109375" style="65" hidden="1" customWidth="1"/>
    <col min="14" max="14" width="9.421875" style="66" hidden="1" customWidth="1"/>
    <col min="15" max="15" width="9.140625" style="66" hidden="1" customWidth="1"/>
    <col min="16" max="16384" width="9.140625" style="65" hidden="1" customWidth="1"/>
  </cols>
  <sheetData>
    <row r="1" spans="1:18" ht="24.75" customHeight="1" thickBot="1">
      <c r="A1" s="105" t="s">
        <v>2610</v>
      </c>
      <c r="B1" s="54" t="s">
        <v>2609</v>
      </c>
      <c r="C1" s="54" t="s">
        <v>2612</v>
      </c>
      <c r="D1" s="54" t="s">
        <v>2027</v>
      </c>
      <c r="E1" s="54" t="s">
        <v>1209</v>
      </c>
      <c r="F1" s="54" t="s">
        <v>2463</v>
      </c>
      <c r="G1" s="54" t="s">
        <v>621</v>
      </c>
      <c r="H1" s="54" t="s">
        <v>622</v>
      </c>
      <c r="I1" s="54" t="s">
        <v>1210</v>
      </c>
      <c r="J1" s="55" t="s">
        <v>2611</v>
      </c>
      <c r="K1" s="2"/>
      <c r="L1" s="65" t="s">
        <v>1171</v>
      </c>
      <c r="P1" s="66"/>
      <c r="Q1" s="58">
        <f>MAX(Q2:Q3)</f>
        <v>1</v>
      </c>
      <c r="R1" s="57" t="s">
        <v>1208</v>
      </c>
    </row>
    <row r="2" spans="1:18" s="2" customFormat="1" ht="19.5" customHeight="1">
      <c r="A2" s="401" t="s">
        <v>1524</v>
      </c>
      <c r="B2" s="432"/>
      <c r="C2" s="432"/>
      <c r="D2" s="432"/>
      <c r="E2" s="432"/>
      <c r="F2" s="432"/>
      <c r="G2" s="432"/>
      <c r="H2" s="432"/>
      <c r="I2" s="433"/>
      <c r="J2" s="399" t="s">
        <v>1425</v>
      </c>
      <c r="Q2" s="58">
        <f>IF(OR(MIN(I8:I73)&lt;0,MAX(I8:I73)&gt;0),1,0)</f>
        <v>1</v>
      </c>
      <c r="R2" s="57" t="s">
        <v>2327</v>
      </c>
    </row>
    <row r="3" spans="1:18" s="2" customFormat="1" ht="19.5" customHeight="1" thickBot="1">
      <c r="A3" s="404" t="str">
        <f>"za razdoblje "&amp;IF(RefStr!C4&lt;&gt;"",TEXT(RefStr!C4,"DD.MM.YYYY."),"__.__.____.")&amp;" do "&amp;IF(RefStr!F4&lt;&gt;"",TEXT(RefStr!F4,"DD.MM.YYYY."),"__.__.____.")</f>
        <v>za razdoblje 01.01.2016. do 31.12.2016.</v>
      </c>
      <c r="B3" s="434"/>
      <c r="C3" s="434"/>
      <c r="D3" s="434"/>
      <c r="E3" s="434"/>
      <c r="F3" s="434"/>
      <c r="G3" s="434"/>
      <c r="H3" s="434"/>
      <c r="I3" s="435"/>
      <c r="J3" s="400"/>
      <c r="Q3" s="58">
        <f>IF(OR(MIN(J8:J73)&lt;0,MAX(J8:J73)&gt;0),1,0)</f>
        <v>1</v>
      </c>
      <c r="R3" s="57" t="s">
        <v>2328</v>
      </c>
    </row>
    <row r="4" spans="1:10" s="2" customFormat="1" ht="4.5" customHeight="1">
      <c r="A4" s="62"/>
      <c r="B4" s="63"/>
      <c r="C4" s="63"/>
      <c r="D4" s="63"/>
      <c r="E4" s="63"/>
      <c r="F4" s="63"/>
      <c r="G4" s="63"/>
      <c r="H4" s="63"/>
      <c r="I4" s="63"/>
      <c r="J4" s="64"/>
    </row>
    <row r="5" spans="1:18" s="2" customFormat="1" ht="19.5" customHeight="1">
      <c r="A5" s="436" t="str">
        <f>"Obveznik: "&amp;IF(RefStr!C27&lt;&gt;"",RefStr!C27,"________")&amp;";   "&amp;IF(RefStr!C29&lt;&gt;"",RefStr!C29,"_____________________________________________________________")&amp;";   "&amp;IF(RefStr!F31&lt;&gt;"",RefStr!F31,"_______________")</f>
        <v>Obveznik: 32247795989;   Croatia banka d.d.;   Zagreb</v>
      </c>
      <c r="B5" s="437"/>
      <c r="C5" s="437"/>
      <c r="D5" s="437"/>
      <c r="E5" s="437"/>
      <c r="F5" s="437"/>
      <c r="G5" s="437"/>
      <c r="H5" s="437"/>
      <c r="I5" s="437"/>
      <c r="J5" s="438"/>
      <c r="Q5" s="2">
        <f>IF(OR(MIN(I34:I36)&lt;0,MAX(I34:I36)&gt;0),1,0)</f>
        <v>0</v>
      </c>
      <c r="R5" s="57" t="s">
        <v>2269</v>
      </c>
    </row>
    <row r="6" spans="1:18" s="2" customFormat="1" ht="24.75" customHeight="1" thickBot="1">
      <c r="A6" s="410" t="s">
        <v>1605</v>
      </c>
      <c r="B6" s="411"/>
      <c r="C6" s="411"/>
      <c r="D6" s="411"/>
      <c r="E6" s="411"/>
      <c r="F6" s="411"/>
      <c r="G6" s="72" t="s">
        <v>2728</v>
      </c>
      <c r="H6" s="72" t="s">
        <v>1446</v>
      </c>
      <c r="I6" s="75" t="s">
        <v>716</v>
      </c>
      <c r="J6" s="76" t="s">
        <v>717</v>
      </c>
      <c r="Q6" s="2">
        <f>IF(OR(MIN(J34:J36)&lt;0,MAX(J34:J36)&gt;0),1,0)</f>
        <v>0</v>
      </c>
      <c r="R6" s="57" t="s">
        <v>2270</v>
      </c>
    </row>
    <row r="7" spans="1:18" s="2" customFormat="1" ht="15" customHeight="1">
      <c r="A7" s="412">
        <v>1</v>
      </c>
      <c r="B7" s="413"/>
      <c r="C7" s="413"/>
      <c r="D7" s="413"/>
      <c r="E7" s="413"/>
      <c r="F7" s="413"/>
      <c r="G7" s="78">
        <v>2</v>
      </c>
      <c r="H7" s="78">
        <v>3</v>
      </c>
      <c r="I7" s="77">
        <v>4</v>
      </c>
      <c r="J7" s="79">
        <v>5</v>
      </c>
      <c r="Q7" s="2">
        <f>IF(OR(MIN(I38:J73)&lt;0,MAX(I38:J73)&gt;0),1,0)</f>
        <v>1</v>
      </c>
      <c r="R7" s="57" t="s">
        <v>2306</v>
      </c>
    </row>
    <row r="8" spans="1:18" s="2" customFormat="1" ht="13.5" customHeight="1">
      <c r="A8" s="428" t="s">
        <v>758</v>
      </c>
      <c r="B8" s="428"/>
      <c r="C8" s="428"/>
      <c r="D8" s="428"/>
      <c r="E8" s="428"/>
      <c r="F8" s="428"/>
      <c r="G8" s="221">
        <v>47</v>
      </c>
      <c r="H8" s="205"/>
      <c r="I8" s="206">
        <v>148904096</v>
      </c>
      <c r="J8" s="206">
        <v>131240833</v>
      </c>
      <c r="Q8" s="2">
        <f>IF(OR(MIN(I71:J73)&lt;&gt;0,MAX(I71:J73)&lt;&gt;0),1,0)</f>
        <v>1</v>
      </c>
      <c r="R8" s="57" t="s">
        <v>2273</v>
      </c>
    </row>
    <row r="9" spans="1:10" s="2" customFormat="1" ht="13.5" customHeight="1">
      <c r="A9" s="427" t="s">
        <v>759</v>
      </c>
      <c r="B9" s="427"/>
      <c r="C9" s="427"/>
      <c r="D9" s="427"/>
      <c r="E9" s="427"/>
      <c r="F9" s="427"/>
      <c r="G9" s="217">
        <v>48</v>
      </c>
      <c r="H9" s="207"/>
      <c r="I9" s="208">
        <v>82908835</v>
      </c>
      <c r="J9" s="208">
        <v>69290298</v>
      </c>
    </row>
    <row r="10" spans="1:10" s="2" customFormat="1" ht="13.5" customHeight="1">
      <c r="A10" s="426" t="s">
        <v>27</v>
      </c>
      <c r="B10" s="426"/>
      <c r="C10" s="426"/>
      <c r="D10" s="426"/>
      <c r="E10" s="426"/>
      <c r="F10" s="426"/>
      <c r="G10" s="217">
        <v>49</v>
      </c>
      <c r="H10" s="207"/>
      <c r="I10" s="250">
        <f>I8-I9</f>
        <v>65995261</v>
      </c>
      <c r="J10" s="250">
        <f>J8-J9</f>
        <v>61950535</v>
      </c>
    </row>
    <row r="11" spans="1:10" s="2" customFormat="1" ht="13.5" customHeight="1">
      <c r="A11" s="427" t="s">
        <v>760</v>
      </c>
      <c r="B11" s="427"/>
      <c r="C11" s="427"/>
      <c r="D11" s="427"/>
      <c r="E11" s="427"/>
      <c r="F11" s="427"/>
      <c r="G11" s="217">
        <v>50</v>
      </c>
      <c r="H11" s="207"/>
      <c r="I11" s="208">
        <v>13356861</v>
      </c>
      <c r="J11" s="208">
        <v>12054663</v>
      </c>
    </row>
    <row r="12" spans="1:10" s="2" customFormat="1" ht="13.5" customHeight="1">
      <c r="A12" s="427" t="s">
        <v>761</v>
      </c>
      <c r="B12" s="427"/>
      <c r="C12" s="427"/>
      <c r="D12" s="427"/>
      <c r="E12" s="427"/>
      <c r="F12" s="427"/>
      <c r="G12" s="217">
        <v>51</v>
      </c>
      <c r="H12" s="207"/>
      <c r="I12" s="208">
        <v>4893600</v>
      </c>
      <c r="J12" s="208">
        <v>4360024</v>
      </c>
    </row>
    <row r="13" spans="1:10" s="2" customFormat="1" ht="13.5" customHeight="1">
      <c r="A13" s="426" t="s">
        <v>26</v>
      </c>
      <c r="B13" s="426"/>
      <c r="C13" s="426"/>
      <c r="D13" s="426"/>
      <c r="E13" s="426"/>
      <c r="F13" s="426"/>
      <c r="G13" s="217">
        <v>52</v>
      </c>
      <c r="H13" s="207"/>
      <c r="I13" s="250">
        <f>I11-I12</f>
        <v>8463261</v>
      </c>
      <c r="J13" s="250">
        <f>J11-J12</f>
        <v>7694639</v>
      </c>
    </row>
    <row r="14" spans="1:10" s="2" customFormat="1" ht="13.5" customHeight="1">
      <c r="A14" s="427" t="s">
        <v>1966</v>
      </c>
      <c r="B14" s="427"/>
      <c r="C14" s="427"/>
      <c r="D14" s="427"/>
      <c r="E14" s="427"/>
      <c r="F14" s="427"/>
      <c r="G14" s="217">
        <v>53</v>
      </c>
      <c r="H14" s="207"/>
      <c r="I14" s="208">
        <v>0</v>
      </c>
      <c r="J14" s="208">
        <v>0</v>
      </c>
    </row>
    <row r="15" spans="1:12" s="2" customFormat="1" ht="13.5" customHeight="1">
      <c r="A15" s="427" t="s">
        <v>762</v>
      </c>
      <c r="B15" s="427"/>
      <c r="C15" s="427"/>
      <c r="D15" s="427"/>
      <c r="E15" s="427"/>
      <c r="F15" s="427"/>
      <c r="G15" s="217">
        <v>54</v>
      </c>
      <c r="H15" s="207"/>
      <c r="I15" s="208">
        <v>4104898</v>
      </c>
      <c r="J15" s="208">
        <v>3404723</v>
      </c>
      <c r="L15" s="2" t="s">
        <v>2271</v>
      </c>
    </row>
    <row r="16" spans="1:10" s="2" customFormat="1" ht="13.5" customHeight="1">
      <c r="A16" s="427" t="s">
        <v>763</v>
      </c>
      <c r="B16" s="427"/>
      <c r="C16" s="427"/>
      <c r="D16" s="427"/>
      <c r="E16" s="427"/>
      <c r="F16" s="427"/>
      <c r="G16" s="217">
        <v>55</v>
      </c>
      <c r="H16" s="207"/>
      <c r="I16" s="208">
        <v>-2568</v>
      </c>
      <c r="J16" s="208">
        <v>2586</v>
      </c>
    </row>
    <row r="17" spans="1:10" s="2" customFormat="1" ht="24.75" customHeight="1">
      <c r="A17" s="427" t="s">
        <v>1961</v>
      </c>
      <c r="B17" s="427"/>
      <c r="C17" s="427"/>
      <c r="D17" s="427"/>
      <c r="E17" s="427"/>
      <c r="F17" s="427"/>
      <c r="G17" s="217">
        <v>56</v>
      </c>
      <c r="H17" s="207"/>
      <c r="I17" s="208">
        <v>0</v>
      </c>
      <c r="J17" s="208">
        <v>0</v>
      </c>
    </row>
    <row r="18" spans="1:10" s="2" customFormat="1" ht="13.5" customHeight="1">
      <c r="A18" s="427" t="s">
        <v>764</v>
      </c>
      <c r="B18" s="427"/>
      <c r="C18" s="427"/>
      <c r="D18" s="427"/>
      <c r="E18" s="427"/>
      <c r="F18" s="427"/>
      <c r="G18" s="217">
        <v>57</v>
      </c>
      <c r="H18" s="207"/>
      <c r="I18" s="208">
        <v>4115296</v>
      </c>
      <c r="J18" s="208">
        <v>6678900</v>
      </c>
    </row>
    <row r="19" spans="1:10" s="2" customFormat="1" ht="13.5" customHeight="1">
      <c r="A19" s="427" t="s">
        <v>765</v>
      </c>
      <c r="B19" s="427"/>
      <c r="C19" s="427"/>
      <c r="D19" s="427"/>
      <c r="E19" s="427"/>
      <c r="F19" s="427"/>
      <c r="G19" s="217">
        <v>58</v>
      </c>
      <c r="H19" s="207"/>
      <c r="I19" s="208">
        <v>0</v>
      </c>
      <c r="J19" s="208">
        <v>1025575</v>
      </c>
    </row>
    <row r="20" spans="1:10" s="2" customFormat="1" ht="13.5" customHeight="1">
      <c r="A20" s="427" t="s">
        <v>766</v>
      </c>
      <c r="B20" s="427"/>
      <c r="C20" s="427"/>
      <c r="D20" s="427"/>
      <c r="E20" s="427"/>
      <c r="F20" s="427"/>
      <c r="G20" s="217">
        <v>59</v>
      </c>
      <c r="H20" s="207"/>
      <c r="I20" s="208">
        <v>0</v>
      </c>
      <c r="J20" s="208">
        <v>0</v>
      </c>
    </row>
    <row r="21" spans="1:10" s="2" customFormat="1" ht="13.5" customHeight="1">
      <c r="A21" s="427" t="s">
        <v>767</v>
      </c>
      <c r="B21" s="427"/>
      <c r="C21" s="427"/>
      <c r="D21" s="427"/>
      <c r="E21" s="427"/>
      <c r="F21" s="427"/>
      <c r="G21" s="217">
        <v>60</v>
      </c>
      <c r="H21" s="207"/>
      <c r="I21" s="208">
        <v>0</v>
      </c>
      <c r="J21" s="208">
        <v>0</v>
      </c>
    </row>
    <row r="22" spans="1:10" s="2" customFormat="1" ht="13.5" customHeight="1">
      <c r="A22" s="427" t="s">
        <v>768</v>
      </c>
      <c r="B22" s="427"/>
      <c r="C22" s="427"/>
      <c r="D22" s="427"/>
      <c r="E22" s="427"/>
      <c r="F22" s="427"/>
      <c r="G22" s="217">
        <v>61</v>
      </c>
      <c r="H22" s="207"/>
      <c r="I22" s="208">
        <v>0</v>
      </c>
      <c r="J22" s="208">
        <v>0</v>
      </c>
    </row>
    <row r="23" spans="1:10" s="2" customFormat="1" ht="13.5" customHeight="1">
      <c r="A23" s="427" t="s">
        <v>769</v>
      </c>
      <c r="B23" s="427"/>
      <c r="C23" s="427"/>
      <c r="D23" s="427"/>
      <c r="E23" s="427"/>
      <c r="F23" s="427"/>
      <c r="G23" s="217">
        <v>62</v>
      </c>
      <c r="H23" s="207"/>
      <c r="I23" s="208">
        <v>-449118</v>
      </c>
      <c r="J23" s="208">
        <v>-490310</v>
      </c>
    </row>
    <row r="24" spans="1:10" s="2" customFormat="1" ht="13.5" customHeight="1">
      <c r="A24" s="427" t="s">
        <v>770</v>
      </c>
      <c r="B24" s="427"/>
      <c r="C24" s="427"/>
      <c r="D24" s="427"/>
      <c r="E24" s="427"/>
      <c r="F24" s="427"/>
      <c r="G24" s="217">
        <v>63</v>
      </c>
      <c r="H24" s="207"/>
      <c r="I24" s="208">
        <v>8797506</v>
      </c>
      <c r="J24" s="208">
        <v>7146829</v>
      </c>
    </row>
    <row r="25" spans="1:10" s="2" customFormat="1" ht="13.5" customHeight="1">
      <c r="A25" s="427" t="s">
        <v>771</v>
      </c>
      <c r="B25" s="427"/>
      <c r="C25" s="427"/>
      <c r="D25" s="427"/>
      <c r="E25" s="427"/>
      <c r="F25" s="427"/>
      <c r="G25" s="217">
        <v>64</v>
      </c>
      <c r="H25" s="207"/>
      <c r="I25" s="208">
        <v>5794893</v>
      </c>
      <c r="J25" s="208">
        <v>3217425</v>
      </c>
    </row>
    <row r="26" spans="1:12" s="2" customFormat="1" ht="13.5" customHeight="1">
      <c r="A26" s="427" t="s">
        <v>772</v>
      </c>
      <c r="B26" s="427"/>
      <c r="C26" s="427"/>
      <c r="D26" s="427"/>
      <c r="E26" s="427"/>
      <c r="F26" s="427"/>
      <c r="G26" s="217">
        <v>65</v>
      </c>
      <c r="H26" s="207"/>
      <c r="I26" s="208">
        <v>66011725</v>
      </c>
      <c r="J26" s="208">
        <v>62467551</v>
      </c>
      <c r="L26" s="2" t="s">
        <v>2271</v>
      </c>
    </row>
    <row r="27" spans="1:12" s="2" customFormat="1" ht="24.75" customHeight="1">
      <c r="A27" s="426" t="s">
        <v>1962</v>
      </c>
      <c r="B27" s="426"/>
      <c r="C27" s="426"/>
      <c r="D27" s="426"/>
      <c r="E27" s="426"/>
      <c r="F27" s="426"/>
      <c r="G27" s="217">
        <v>66</v>
      </c>
      <c r="H27" s="207"/>
      <c r="I27" s="250">
        <f>I10+I13+SUM(I14:I24)-I25-I26</f>
        <v>19217918</v>
      </c>
      <c r="J27" s="250">
        <f>J10+J13+SUM(J14:J24)-J25-J26</f>
        <v>21728501</v>
      </c>
      <c r="L27" s="2" t="s">
        <v>2271</v>
      </c>
    </row>
    <row r="28" spans="1:12" s="2" customFormat="1" ht="13.5" customHeight="1">
      <c r="A28" s="427" t="s">
        <v>773</v>
      </c>
      <c r="B28" s="427"/>
      <c r="C28" s="427"/>
      <c r="D28" s="427"/>
      <c r="E28" s="427"/>
      <c r="F28" s="427"/>
      <c r="G28" s="217">
        <v>67</v>
      </c>
      <c r="H28" s="207"/>
      <c r="I28" s="208">
        <v>16954224</v>
      </c>
      <c r="J28" s="208">
        <v>19064703</v>
      </c>
      <c r="L28" s="2" t="s">
        <v>2271</v>
      </c>
    </row>
    <row r="29" spans="1:12" s="2" customFormat="1" ht="15" customHeight="1">
      <c r="A29" s="426" t="s">
        <v>1963</v>
      </c>
      <c r="B29" s="426"/>
      <c r="C29" s="426"/>
      <c r="D29" s="426"/>
      <c r="E29" s="426"/>
      <c r="F29" s="426"/>
      <c r="G29" s="217">
        <v>68</v>
      </c>
      <c r="H29" s="207"/>
      <c r="I29" s="250">
        <f>I27-I28</f>
        <v>2263694</v>
      </c>
      <c r="J29" s="250">
        <f>J27-J28</f>
        <v>2663798</v>
      </c>
      <c r="L29" s="2" t="s">
        <v>2271</v>
      </c>
    </row>
    <row r="30" spans="1:12" s="2" customFormat="1" ht="13.5" customHeight="1">
      <c r="A30" s="426" t="s">
        <v>2166</v>
      </c>
      <c r="B30" s="426"/>
      <c r="C30" s="426"/>
      <c r="D30" s="426"/>
      <c r="E30" s="426"/>
      <c r="F30" s="426"/>
      <c r="G30" s="217">
        <v>69</v>
      </c>
      <c r="H30" s="207"/>
      <c r="I30" s="208">
        <v>17397479</v>
      </c>
      <c r="J30" s="208">
        <v>1025687</v>
      </c>
      <c r="L30" s="2" t="s">
        <v>2271</v>
      </c>
    </row>
    <row r="31" spans="1:12" s="2" customFormat="1" ht="13.5" customHeight="1">
      <c r="A31" s="426" t="s">
        <v>1964</v>
      </c>
      <c r="B31" s="426"/>
      <c r="C31" s="426"/>
      <c r="D31" s="426"/>
      <c r="E31" s="426"/>
      <c r="F31" s="426"/>
      <c r="G31" s="217">
        <v>70</v>
      </c>
      <c r="H31" s="207"/>
      <c r="I31" s="250">
        <f>I29-I30</f>
        <v>-15133785</v>
      </c>
      <c r="J31" s="250">
        <f>J29-J30</f>
        <v>1638111</v>
      </c>
      <c r="L31" s="2" t="s">
        <v>2271</v>
      </c>
    </row>
    <row r="32" spans="1:12" s="2" customFormat="1" ht="13.5" customHeight="1">
      <c r="A32" s="421" t="s">
        <v>774</v>
      </c>
      <c r="B32" s="421"/>
      <c r="C32" s="421"/>
      <c r="D32" s="421"/>
      <c r="E32" s="421"/>
      <c r="F32" s="421"/>
      <c r="G32" s="219">
        <v>71</v>
      </c>
      <c r="H32" s="239"/>
      <c r="I32" s="240"/>
      <c r="J32" s="240"/>
      <c r="L32" s="2" t="s">
        <v>2271</v>
      </c>
    </row>
    <row r="33" spans="1:10" s="2" customFormat="1" ht="13.5" customHeight="1">
      <c r="A33" s="418" t="s">
        <v>775</v>
      </c>
      <c r="B33" s="418"/>
      <c r="C33" s="418"/>
      <c r="D33" s="418"/>
      <c r="E33" s="418"/>
      <c r="F33" s="418"/>
      <c r="G33" s="425"/>
      <c r="H33" s="425"/>
      <c r="I33" s="425"/>
      <c r="J33" s="425"/>
    </row>
    <row r="34" spans="1:12" s="2" customFormat="1" ht="13.5" customHeight="1">
      <c r="A34" s="429" t="s">
        <v>776</v>
      </c>
      <c r="B34" s="430"/>
      <c r="C34" s="430"/>
      <c r="D34" s="430"/>
      <c r="E34" s="430"/>
      <c r="F34" s="430"/>
      <c r="G34" s="217">
        <v>72</v>
      </c>
      <c r="H34" s="207"/>
      <c r="I34" s="250">
        <f>IF(RefStr!$C21="DA",RDG!I31,0)</f>
        <v>0</v>
      </c>
      <c r="J34" s="250">
        <f>IF(RefStr!$C21="DA",RDG!J31,0)</f>
        <v>0</v>
      </c>
      <c r="L34" s="2" t="s">
        <v>2271</v>
      </c>
    </row>
    <row r="35" spans="1:12" s="2" customFormat="1" ht="13.5" customHeight="1">
      <c r="A35" s="439" t="s">
        <v>777</v>
      </c>
      <c r="B35" s="423"/>
      <c r="C35" s="423"/>
      <c r="D35" s="423"/>
      <c r="E35" s="423"/>
      <c r="F35" s="423"/>
      <c r="G35" s="217">
        <v>73</v>
      </c>
      <c r="H35" s="207" t="s">
        <v>2762</v>
      </c>
      <c r="I35" s="208"/>
      <c r="J35" s="208"/>
      <c r="L35" s="2" t="s">
        <v>2271</v>
      </c>
    </row>
    <row r="36" spans="1:12" s="2" customFormat="1" ht="15" customHeight="1">
      <c r="A36" s="440" t="s">
        <v>25</v>
      </c>
      <c r="B36" s="424"/>
      <c r="C36" s="424"/>
      <c r="D36" s="424"/>
      <c r="E36" s="424"/>
      <c r="F36" s="424"/>
      <c r="G36" s="219">
        <v>74</v>
      </c>
      <c r="H36" s="239"/>
      <c r="I36" s="251">
        <f>I34-I35</f>
        <v>0</v>
      </c>
      <c r="J36" s="251">
        <f>J34-J35</f>
        <v>0</v>
      </c>
      <c r="L36" s="2" t="s">
        <v>2271</v>
      </c>
    </row>
    <row r="37" spans="1:10" s="2" customFormat="1" ht="13.5" customHeight="1">
      <c r="A37" s="418" t="s">
        <v>283</v>
      </c>
      <c r="B37" s="418"/>
      <c r="C37" s="418"/>
      <c r="D37" s="418"/>
      <c r="E37" s="418"/>
      <c r="F37" s="418"/>
      <c r="G37" s="425"/>
      <c r="H37" s="425"/>
      <c r="I37" s="425"/>
      <c r="J37" s="425"/>
    </row>
    <row r="38" spans="1:10" s="2" customFormat="1" ht="13.5" customHeight="1">
      <c r="A38" s="426" t="s">
        <v>53</v>
      </c>
      <c r="B38" s="426"/>
      <c r="C38" s="426"/>
      <c r="D38" s="426"/>
      <c r="E38" s="426"/>
      <c r="F38" s="426"/>
      <c r="G38" s="217">
        <v>75</v>
      </c>
      <c r="H38" s="207" t="s">
        <v>2763</v>
      </c>
      <c r="I38" s="208">
        <v>-15133785</v>
      </c>
      <c r="J38" s="208">
        <v>1638111</v>
      </c>
    </row>
    <row r="39" spans="1:10" s="2" customFormat="1" ht="13.5" customHeight="1">
      <c r="A39" s="426" t="s">
        <v>24</v>
      </c>
      <c r="B39" s="426"/>
      <c r="C39" s="426"/>
      <c r="D39" s="426"/>
      <c r="E39" s="426"/>
      <c r="F39" s="426"/>
      <c r="G39" s="217">
        <v>76</v>
      </c>
      <c r="H39" s="207"/>
      <c r="I39" s="250">
        <f>I40+I47</f>
        <v>-3004132</v>
      </c>
      <c r="J39" s="250">
        <f>J40+J47</f>
        <v>5965860</v>
      </c>
    </row>
    <row r="40" spans="1:10" s="2" customFormat="1" ht="15" customHeight="1">
      <c r="A40" s="397" t="s">
        <v>35</v>
      </c>
      <c r="B40" s="397"/>
      <c r="C40" s="397"/>
      <c r="D40" s="397"/>
      <c r="E40" s="397"/>
      <c r="F40" s="397"/>
      <c r="G40" s="217">
        <v>77</v>
      </c>
      <c r="H40" s="207"/>
      <c r="I40" s="250">
        <f>SUM(I41:I46)</f>
        <v>0</v>
      </c>
      <c r="J40" s="250">
        <f>SUM(J41:J46)</f>
        <v>0</v>
      </c>
    </row>
    <row r="41" spans="1:10" s="2" customFormat="1" ht="13.5" customHeight="1">
      <c r="A41" s="431" t="s">
        <v>778</v>
      </c>
      <c r="B41" s="431"/>
      <c r="C41" s="431"/>
      <c r="D41" s="431"/>
      <c r="E41" s="431"/>
      <c r="F41" s="431"/>
      <c r="G41" s="217">
        <v>78</v>
      </c>
      <c r="H41" s="207" t="s">
        <v>2764</v>
      </c>
      <c r="I41" s="208">
        <v>0</v>
      </c>
      <c r="J41" s="208">
        <v>0</v>
      </c>
    </row>
    <row r="42" spans="1:10" s="2" customFormat="1" ht="13.5" customHeight="1">
      <c r="A42" s="431" t="s">
        <v>779</v>
      </c>
      <c r="B42" s="431"/>
      <c r="C42" s="431"/>
      <c r="D42" s="431"/>
      <c r="E42" s="431"/>
      <c r="F42" s="431"/>
      <c r="G42" s="217">
        <v>79</v>
      </c>
      <c r="H42" s="207" t="s">
        <v>2765</v>
      </c>
      <c r="I42" s="208">
        <v>0</v>
      </c>
      <c r="J42" s="208">
        <v>0</v>
      </c>
    </row>
    <row r="43" spans="1:10" s="2" customFormat="1" ht="24.75" customHeight="1">
      <c r="A43" s="431" t="s">
        <v>1965</v>
      </c>
      <c r="B43" s="431"/>
      <c r="C43" s="431"/>
      <c r="D43" s="431"/>
      <c r="E43" s="431"/>
      <c r="F43" s="431"/>
      <c r="G43" s="217">
        <v>80</v>
      </c>
      <c r="H43" s="207" t="s">
        <v>2766</v>
      </c>
      <c r="I43" s="208">
        <v>0</v>
      </c>
      <c r="J43" s="208">
        <v>0</v>
      </c>
    </row>
    <row r="44" spans="1:10" s="2" customFormat="1" ht="13.5" customHeight="1">
      <c r="A44" s="431" t="s">
        <v>780</v>
      </c>
      <c r="B44" s="431"/>
      <c r="C44" s="431"/>
      <c r="D44" s="431"/>
      <c r="E44" s="431"/>
      <c r="F44" s="431"/>
      <c r="G44" s="217">
        <v>81</v>
      </c>
      <c r="H44" s="207"/>
      <c r="I44" s="208">
        <v>0</v>
      </c>
      <c r="J44" s="208">
        <v>0</v>
      </c>
    </row>
    <row r="45" spans="1:10" s="2" customFormat="1" ht="24.75" customHeight="1">
      <c r="A45" s="431" t="s">
        <v>1960</v>
      </c>
      <c r="B45" s="431"/>
      <c r="C45" s="431"/>
      <c r="D45" s="431"/>
      <c r="E45" s="431"/>
      <c r="F45" s="431"/>
      <c r="G45" s="217">
        <v>82</v>
      </c>
      <c r="H45" s="207"/>
      <c r="I45" s="208">
        <v>0</v>
      </c>
      <c r="J45" s="208">
        <v>0</v>
      </c>
    </row>
    <row r="46" spans="1:10" s="2" customFormat="1" ht="13.5" customHeight="1">
      <c r="A46" s="431" t="s">
        <v>1854</v>
      </c>
      <c r="B46" s="431"/>
      <c r="C46" s="431"/>
      <c r="D46" s="431"/>
      <c r="E46" s="431"/>
      <c r="F46" s="431"/>
      <c r="G46" s="217">
        <v>83</v>
      </c>
      <c r="H46" s="207" t="s">
        <v>2767</v>
      </c>
      <c r="I46" s="208">
        <v>0</v>
      </c>
      <c r="J46" s="208">
        <v>0</v>
      </c>
    </row>
    <row r="47" spans="1:10" s="2" customFormat="1" ht="24.75" customHeight="1">
      <c r="A47" s="397" t="s">
        <v>36</v>
      </c>
      <c r="B47" s="397"/>
      <c r="C47" s="397"/>
      <c r="D47" s="397"/>
      <c r="E47" s="397"/>
      <c r="F47" s="397"/>
      <c r="G47" s="217">
        <v>84</v>
      </c>
      <c r="H47" s="207"/>
      <c r="I47" s="250">
        <f>I48+I52+I56+I61+I65+I69+I70</f>
        <v>-3004132</v>
      </c>
      <c r="J47" s="250">
        <f>J48+J52+J56+J61+J65+J69+J70</f>
        <v>5965860</v>
      </c>
    </row>
    <row r="48" spans="1:10" s="2" customFormat="1" ht="15" customHeight="1">
      <c r="A48" s="431" t="s">
        <v>37</v>
      </c>
      <c r="B48" s="431"/>
      <c r="C48" s="431"/>
      <c r="D48" s="431"/>
      <c r="E48" s="431"/>
      <c r="F48" s="431"/>
      <c r="G48" s="217">
        <v>85</v>
      </c>
      <c r="H48" s="207" t="s">
        <v>2768</v>
      </c>
      <c r="I48" s="250">
        <f>SUM(I49:I51)</f>
        <v>0</v>
      </c>
      <c r="J48" s="250">
        <f>SUM(J49:J51)</f>
        <v>0</v>
      </c>
    </row>
    <row r="49" spans="1:10" s="2" customFormat="1" ht="13.5" customHeight="1">
      <c r="A49" s="441" t="s">
        <v>54</v>
      </c>
      <c r="B49" s="441"/>
      <c r="C49" s="441"/>
      <c r="D49" s="441"/>
      <c r="E49" s="441"/>
      <c r="F49" s="441"/>
      <c r="G49" s="217">
        <v>86</v>
      </c>
      <c r="H49" s="207" t="s">
        <v>2769</v>
      </c>
      <c r="I49" s="208">
        <v>0</v>
      </c>
      <c r="J49" s="208">
        <v>0</v>
      </c>
    </row>
    <row r="50" spans="1:10" s="2" customFormat="1" ht="13.5" customHeight="1">
      <c r="A50" s="441" t="s">
        <v>40</v>
      </c>
      <c r="B50" s="441"/>
      <c r="C50" s="441"/>
      <c r="D50" s="441"/>
      <c r="E50" s="441"/>
      <c r="F50" s="441"/>
      <c r="G50" s="217">
        <v>87</v>
      </c>
      <c r="H50" s="207"/>
      <c r="I50" s="208">
        <v>0</v>
      </c>
      <c r="J50" s="208">
        <v>0</v>
      </c>
    </row>
    <row r="51" spans="1:10" s="2" customFormat="1" ht="13.5" customHeight="1">
      <c r="A51" s="441" t="s">
        <v>41</v>
      </c>
      <c r="B51" s="441"/>
      <c r="C51" s="441"/>
      <c r="D51" s="441"/>
      <c r="E51" s="441"/>
      <c r="F51" s="441"/>
      <c r="G51" s="217">
        <v>88</v>
      </c>
      <c r="H51" s="207" t="s">
        <v>2770</v>
      </c>
      <c r="I51" s="208">
        <v>0</v>
      </c>
      <c r="J51" s="208">
        <v>0</v>
      </c>
    </row>
    <row r="52" spans="1:10" s="2" customFormat="1" ht="13.5" customHeight="1">
      <c r="A52" s="431" t="s">
        <v>23</v>
      </c>
      <c r="B52" s="431"/>
      <c r="C52" s="431"/>
      <c r="D52" s="431"/>
      <c r="E52" s="431"/>
      <c r="F52" s="431"/>
      <c r="G52" s="217">
        <v>89</v>
      </c>
      <c r="H52" s="207" t="s">
        <v>2771</v>
      </c>
      <c r="I52" s="250">
        <f>SUM(I53:I55)</f>
        <v>0</v>
      </c>
      <c r="J52" s="250">
        <f>SUM(J53:J55)</f>
        <v>0</v>
      </c>
    </row>
    <row r="53" spans="1:10" s="2" customFormat="1" ht="13.5" customHeight="1">
      <c r="A53" s="441" t="s">
        <v>55</v>
      </c>
      <c r="B53" s="441"/>
      <c r="C53" s="441"/>
      <c r="D53" s="441"/>
      <c r="E53" s="441"/>
      <c r="F53" s="441"/>
      <c r="G53" s="217">
        <v>90</v>
      </c>
      <c r="H53" s="207" t="s">
        <v>2772</v>
      </c>
      <c r="I53" s="208">
        <v>0</v>
      </c>
      <c r="J53" s="208">
        <v>0</v>
      </c>
    </row>
    <row r="54" spans="1:10" s="2" customFormat="1" ht="13.5" customHeight="1">
      <c r="A54" s="441" t="s">
        <v>42</v>
      </c>
      <c r="B54" s="441"/>
      <c r="C54" s="441"/>
      <c r="D54" s="441"/>
      <c r="E54" s="441"/>
      <c r="F54" s="441"/>
      <c r="G54" s="217">
        <v>91</v>
      </c>
      <c r="H54" s="207"/>
      <c r="I54" s="208">
        <v>0</v>
      </c>
      <c r="J54" s="208">
        <v>0</v>
      </c>
    </row>
    <row r="55" spans="1:10" s="2" customFormat="1" ht="13.5" customHeight="1">
      <c r="A55" s="441" t="s">
        <v>43</v>
      </c>
      <c r="B55" s="441"/>
      <c r="C55" s="441"/>
      <c r="D55" s="441"/>
      <c r="E55" s="441"/>
      <c r="F55" s="441"/>
      <c r="G55" s="217">
        <v>92</v>
      </c>
      <c r="H55" s="207"/>
      <c r="I55" s="208">
        <v>0</v>
      </c>
      <c r="J55" s="208">
        <v>0</v>
      </c>
    </row>
    <row r="56" spans="1:12" s="2" customFormat="1" ht="13.5" customHeight="1">
      <c r="A56" s="431" t="s">
        <v>22</v>
      </c>
      <c r="B56" s="431"/>
      <c r="C56" s="431"/>
      <c r="D56" s="431"/>
      <c r="E56" s="431"/>
      <c r="F56" s="431"/>
      <c r="G56" s="217">
        <v>93</v>
      </c>
      <c r="H56" s="207" t="s">
        <v>2773</v>
      </c>
      <c r="I56" s="250">
        <f>SUM(I57:I60)</f>
        <v>0</v>
      </c>
      <c r="J56" s="250">
        <f>SUM(J57:J60)</f>
        <v>0</v>
      </c>
      <c r="L56" s="2" t="s">
        <v>2271</v>
      </c>
    </row>
    <row r="57" spans="1:10" s="2" customFormat="1" ht="13.5" customHeight="1">
      <c r="A57" s="441" t="s">
        <v>56</v>
      </c>
      <c r="B57" s="441"/>
      <c r="C57" s="441"/>
      <c r="D57" s="441"/>
      <c r="E57" s="441"/>
      <c r="F57" s="441"/>
      <c r="G57" s="217">
        <v>94</v>
      </c>
      <c r="H57" s="207" t="s">
        <v>2774</v>
      </c>
      <c r="I57" s="208">
        <v>0</v>
      </c>
      <c r="J57" s="208">
        <v>0</v>
      </c>
    </row>
    <row r="58" spans="1:10" s="2" customFormat="1" ht="13.5" customHeight="1">
      <c r="A58" s="441" t="s">
        <v>44</v>
      </c>
      <c r="B58" s="441"/>
      <c r="C58" s="441"/>
      <c r="D58" s="441"/>
      <c r="E58" s="441"/>
      <c r="F58" s="441"/>
      <c r="G58" s="217">
        <v>95</v>
      </c>
      <c r="H58" s="207"/>
      <c r="I58" s="208">
        <v>0</v>
      </c>
      <c r="J58" s="208">
        <v>0</v>
      </c>
    </row>
    <row r="59" spans="1:10" s="2" customFormat="1" ht="13.5" customHeight="1">
      <c r="A59" s="441" t="s">
        <v>39</v>
      </c>
      <c r="B59" s="441"/>
      <c r="C59" s="441"/>
      <c r="D59" s="441"/>
      <c r="E59" s="441"/>
      <c r="F59" s="441"/>
      <c r="G59" s="217">
        <v>96</v>
      </c>
      <c r="H59" s="207" t="s">
        <v>2775</v>
      </c>
      <c r="I59" s="208">
        <v>0</v>
      </c>
      <c r="J59" s="208">
        <v>0</v>
      </c>
    </row>
    <row r="60" spans="1:10" s="2" customFormat="1" ht="13.5" customHeight="1">
      <c r="A60" s="441" t="s">
        <v>38</v>
      </c>
      <c r="B60" s="441"/>
      <c r="C60" s="441"/>
      <c r="D60" s="441"/>
      <c r="E60" s="441"/>
      <c r="F60" s="441"/>
      <c r="G60" s="217">
        <v>97</v>
      </c>
      <c r="H60" s="207" t="s">
        <v>2776</v>
      </c>
      <c r="I60" s="208">
        <v>0</v>
      </c>
      <c r="J60" s="208">
        <v>0</v>
      </c>
    </row>
    <row r="61" spans="1:10" s="2" customFormat="1" ht="13.5" customHeight="1">
      <c r="A61" s="431" t="s">
        <v>21</v>
      </c>
      <c r="B61" s="431"/>
      <c r="C61" s="431"/>
      <c r="D61" s="431"/>
      <c r="E61" s="431"/>
      <c r="F61" s="431"/>
      <c r="G61" s="217">
        <v>98</v>
      </c>
      <c r="H61" s="207"/>
      <c r="I61" s="250">
        <f>SUM(I62:I64)</f>
        <v>-3102832</v>
      </c>
      <c r="J61" s="250">
        <f>SUM(J62:J64)</f>
        <v>7287476</v>
      </c>
    </row>
    <row r="62" spans="1:10" s="2" customFormat="1" ht="13.5" customHeight="1">
      <c r="A62" s="441" t="s">
        <v>1959</v>
      </c>
      <c r="B62" s="441"/>
      <c r="C62" s="441"/>
      <c r="D62" s="441"/>
      <c r="E62" s="441"/>
      <c r="F62" s="441"/>
      <c r="G62" s="217">
        <v>99</v>
      </c>
      <c r="H62" s="207"/>
      <c r="I62" s="208">
        <v>-1144150</v>
      </c>
      <c r="J62" s="208">
        <v>7012423</v>
      </c>
    </row>
    <row r="63" spans="1:10" s="2" customFormat="1" ht="13.5" customHeight="1">
      <c r="A63" s="441" t="s">
        <v>45</v>
      </c>
      <c r="B63" s="441"/>
      <c r="C63" s="441"/>
      <c r="D63" s="441"/>
      <c r="E63" s="441"/>
      <c r="F63" s="441"/>
      <c r="G63" s="217">
        <v>100</v>
      </c>
      <c r="H63" s="207" t="s">
        <v>2777</v>
      </c>
      <c r="I63" s="208">
        <v>-1958682</v>
      </c>
      <c r="J63" s="208">
        <v>275053</v>
      </c>
    </row>
    <row r="64" spans="1:12" s="2" customFormat="1" ht="13.5" customHeight="1">
      <c r="A64" s="441" t="s">
        <v>46</v>
      </c>
      <c r="B64" s="441"/>
      <c r="C64" s="441"/>
      <c r="D64" s="441"/>
      <c r="E64" s="441"/>
      <c r="F64" s="441"/>
      <c r="G64" s="217">
        <v>101</v>
      </c>
      <c r="H64" s="207" t="s">
        <v>2778</v>
      </c>
      <c r="I64" s="208">
        <v>0</v>
      </c>
      <c r="J64" s="208">
        <v>0</v>
      </c>
      <c r="L64" s="2" t="s">
        <v>2271</v>
      </c>
    </row>
    <row r="65" spans="1:10" s="2" customFormat="1" ht="24.75" customHeight="1">
      <c r="A65" s="431" t="s">
        <v>47</v>
      </c>
      <c r="B65" s="431"/>
      <c r="C65" s="431"/>
      <c r="D65" s="431"/>
      <c r="E65" s="431"/>
      <c r="F65" s="431"/>
      <c r="G65" s="217">
        <v>102</v>
      </c>
      <c r="H65" s="207"/>
      <c r="I65" s="250">
        <f>SUM(I66:I68)</f>
        <v>0</v>
      </c>
      <c r="J65" s="250">
        <f>SUM(J66:J68)</f>
        <v>0</v>
      </c>
    </row>
    <row r="66" spans="1:10" s="2" customFormat="1" ht="13.5" customHeight="1">
      <c r="A66" s="441" t="s">
        <v>48</v>
      </c>
      <c r="B66" s="441"/>
      <c r="C66" s="441"/>
      <c r="D66" s="441"/>
      <c r="E66" s="441"/>
      <c r="F66" s="441"/>
      <c r="G66" s="217">
        <v>103</v>
      </c>
      <c r="H66" s="207" t="s">
        <v>2779</v>
      </c>
      <c r="I66" s="208">
        <v>0</v>
      </c>
      <c r="J66" s="208">
        <v>0</v>
      </c>
    </row>
    <row r="67" spans="1:12" s="2" customFormat="1" ht="13.5" customHeight="1">
      <c r="A67" s="441" t="s">
        <v>49</v>
      </c>
      <c r="B67" s="441"/>
      <c r="C67" s="441"/>
      <c r="D67" s="441"/>
      <c r="E67" s="441"/>
      <c r="F67" s="441"/>
      <c r="G67" s="217">
        <v>104</v>
      </c>
      <c r="H67" s="207" t="s">
        <v>2780</v>
      </c>
      <c r="I67" s="208">
        <v>0</v>
      </c>
      <c r="J67" s="208">
        <v>0</v>
      </c>
      <c r="L67" s="2" t="s">
        <v>2271</v>
      </c>
    </row>
    <row r="68" spans="1:12" s="2" customFormat="1" ht="13.5" customHeight="1">
      <c r="A68" s="441" t="s">
        <v>50</v>
      </c>
      <c r="B68" s="441"/>
      <c r="C68" s="441"/>
      <c r="D68" s="441"/>
      <c r="E68" s="441"/>
      <c r="F68" s="441"/>
      <c r="G68" s="217">
        <v>105</v>
      </c>
      <c r="H68" s="207" t="s">
        <v>2781</v>
      </c>
      <c r="I68" s="208">
        <v>0</v>
      </c>
      <c r="J68" s="208">
        <v>0</v>
      </c>
      <c r="L68" s="2" t="s">
        <v>2271</v>
      </c>
    </row>
    <row r="69" spans="1:10" s="2" customFormat="1" ht="24.75" customHeight="1">
      <c r="A69" s="431" t="s">
        <v>51</v>
      </c>
      <c r="B69" s="431"/>
      <c r="C69" s="431"/>
      <c r="D69" s="431"/>
      <c r="E69" s="431"/>
      <c r="F69" s="431"/>
      <c r="G69" s="217">
        <v>106</v>
      </c>
      <c r="H69" s="207"/>
      <c r="I69" s="208">
        <v>0</v>
      </c>
      <c r="J69" s="208">
        <v>0</v>
      </c>
    </row>
    <row r="70" spans="1:10" s="2" customFormat="1" ht="24.75" customHeight="1">
      <c r="A70" s="431" t="s">
        <v>52</v>
      </c>
      <c r="B70" s="431"/>
      <c r="C70" s="431"/>
      <c r="D70" s="431"/>
      <c r="E70" s="431"/>
      <c r="F70" s="431"/>
      <c r="G70" s="217">
        <v>107</v>
      </c>
      <c r="H70" s="207"/>
      <c r="I70" s="208">
        <v>98700</v>
      </c>
      <c r="J70" s="208">
        <v>-1321616</v>
      </c>
    </row>
    <row r="71" spans="1:12" s="2" customFormat="1" ht="13.5" customHeight="1">
      <c r="A71" s="426" t="s">
        <v>20</v>
      </c>
      <c r="B71" s="426"/>
      <c r="C71" s="426"/>
      <c r="D71" s="426"/>
      <c r="E71" s="426"/>
      <c r="F71" s="426"/>
      <c r="G71" s="217">
        <v>108</v>
      </c>
      <c r="H71" s="207"/>
      <c r="I71" s="250">
        <f>I38+I39</f>
        <v>-18137917</v>
      </c>
      <c r="J71" s="250">
        <f>J38+J39</f>
        <v>7603971</v>
      </c>
      <c r="L71" s="2" t="s">
        <v>2271</v>
      </c>
    </row>
    <row r="72" spans="1:10" s="2" customFormat="1" ht="13.5" customHeight="1">
      <c r="A72" s="426" t="s">
        <v>281</v>
      </c>
      <c r="B72" s="426"/>
      <c r="C72" s="426"/>
      <c r="D72" s="426"/>
      <c r="E72" s="426"/>
      <c r="F72" s="426"/>
      <c r="G72" s="217">
        <v>109</v>
      </c>
      <c r="H72" s="207" t="s">
        <v>2782</v>
      </c>
      <c r="I72" s="208">
        <v>0</v>
      </c>
      <c r="J72" s="208">
        <v>0</v>
      </c>
    </row>
    <row r="73" spans="1:10" s="2" customFormat="1" ht="13.5" customHeight="1">
      <c r="A73" s="420" t="s">
        <v>282</v>
      </c>
      <c r="B73" s="420"/>
      <c r="C73" s="420"/>
      <c r="D73" s="420"/>
      <c r="E73" s="420"/>
      <c r="F73" s="420"/>
      <c r="G73" s="219">
        <v>110</v>
      </c>
      <c r="H73" s="253"/>
      <c r="I73" s="252">
        <f>I71-I72</f>
        <v>-18137917</v>
      </c>
      <c r="J73" s="252">
        <f>J71-J72</f>
        <v>7603971</v>
      </c>
    </row>
    <row r="74" ht="4.5" customHeight="1"/>
  </sheetData>
  <sheetProtection password="C79A" sheet="1" objects="1" scenarios="1"/>
  <mergeCells count="72">
    <mergeCell ref="A37:J37"/>
    <mergeCell ref="A73:F73"/>
    <mergeCell ref="A69:F69"/>
    <mergeCell ref="A70:F70"/>
    <mergeCell ref="A71:F71"/>
    <mergeCell ref="A72:F72"/>
    <mergeCell ref="A65:F65"/>
    <mergeCell ref="A66:F66"/>
    <mergeCell ref="A67:F67"/>
    <mergeCell ref="A68:F68"/>
    <mergeCell ref="A61:F61"/>
    <mergeCell ref="A62:F62"/>
    <mergeCell ref="A63:F63"/>
    <mergeCell ref="A64:F64"/>
    <mergeCell ref="A57:F57"/>
    <mergeCell ref="A58:F58"/>
    <mergeCell ref="A59:F59"/>
    <mergeCell ref="A60:F60"/>
    <mergeCell ref="A53:F53"/>
    <mergeCell ref="A54:F54"/>
    <mergeCell ref="A55:F55"/>
    <mergeCell ref="A56:F56"/>
    <mergeCell ref="A49:F49"/>
    <mergeCell ref="A50:F50"/>
    <mergeCell ref="A51:F51"/>
    <mergeCell ref="A52:F52"/>
    <mergeCell ref="A45:F45"/>
    <mergeCell ref="A46:F46"/>
    <mergeCell ref="A47:F47"/>
    <mergeCell ref="A48:F48"/>
    <mergeCell ref="A35:F35"/>
    <mergeCell ref="A36:F36"/>
    <mergeCell ref="A38:F38"/>
    <mergeCell ref="A39:F39"/>
    <mergeCell ref="A40:F40"/>
    <mergeCell ref="A41:F41"/>
    <mergeCell ref="A42:F42"/>
    <mergeCell ref="A43:F43"/>
    <mergeCell ref="A44:F44"/>
    <mergeCell ref="A2:I2"/>
    <mergeCell ref="A3:I3"/>
    <mergeCell ref="J2:J3"/>
    <mergeCell ref="A7:F7"/>
    <mergeCell ref="A5:J5"/>
    <mergeCell ref="A6:F6"/>
    <mergeCell ref="A32:F32"/>
    <mergeCell ref="A34:F34"/>
    <mergeCell ref="A28:F28"/>
    <mergeCell ref="A29:F29"/>
    <mergeCell ref="A30:F30"/>
    <mergeCell ref="A31:F31"/>
    <mergeCell ref="A24:F24"/>
    <mergeCell ref="A25:F25"/>
    <mergeCell ref="A26:F26"/>
    <mergeCell ref="A27:F27"/>
    <mergeCell ref="A33:J33"/>
    <mergeCell ref="A20:F20"/>
    <mergeCell ref="A21:F21"/>
    <mergeCell ref="A22:F22"/>
    <mergeCell ref="A23:F23"/>
    <mergeCell ref="A16:F16"/>
    <mergeCell ref="A17:F17"/>
    <mergeCell ref="A18:F18"/>
    <mergeCell ref="A19:F19"/>
    <mergeCell ref="A12:F12"/>
    <mergeCell ref="A13:F13"/>
    <mergeCell ref="A14:F14"/>
    <mergeCell ref="A15:F15"/>
    <mergeCell ref="A8:F8"/>
    <mergeCell ref="A9:F9"/>
    <mergeCell ref="A10:F10"/>
    <mergeCell ref="A11:F11"/>
  </mergeCells>
  <conditionalFormatting sqref="I23:J23 I27:J31 I13:J20 I25:J25 I34:J36 I10:J10 I38:J73">
    <cfRule type="cellIs" priority="1" dxfId="2" operator="notEqual" stopIfTrue="1">
      <formula>ROUND(I10,0)</formula>
    </cfRule>
  </conditionalFormatting>
  <conditionalFormatting sqref="I21:J22 I24:J24 I32:J32 I8:J8 I11:J11">
    <cfRule type="cellIs" priority="2" dxfId="2" operator="notEqual" stopIfTrue="1">
      <formula>ROUND(I8,0)</formula>
    </cfRule>
    <cfRule type="cellIs" priority="3" dxfId="1" operator="lessThan" stopIfTrue="1">
      <formula>0</formula>
    </cfRule>
  </conditionalFormatting>
  <conditionalFormatting sqref="I9:J9 I12:J12 I26:J26">
    <cfRule type="cellIs" priority="4" dxfId="2" operator="notEqual" stopIfTrue="1">
      <formula>ROUND(I9,0)</formula>
    </cfRule>
    <cfRule type="cellIs" priority="5" dxfId="8" operator="lessThan" stopIfTrue="1">
      <formula>0</formula>
    </cfRule>
  </conditionalFormatting>
  <dataValidations count="4">
    <dataValidation type="whole" operator="greaterThanOrEqual" allowBlank="1" showInputMessage="1" showErrorMessage="1" errorTitle="Nedopušten upis" error="Dopušten je upis samo pozitivnih cjelobrojnih vrijednosti ili nule." sqref="I32:J32 I21:J22">
      <formula1>0</formula1>
    </dataValidation>
    <dataValidation type="whole" operator="notEqual" allowBlank="1" showInputMessage="1" showErrorMessage="1" errorTitle="Nedopušten upis" error="Dopušten je upis samo cjelobrojnih vrijednosti." sqref="I34:J36 I10:J10 I23:J23 I13:J20 I27:J31 I38:J73">
      <formula1>999999999</formula1>
    </dataValidation>
    <dataValidation type="whole" operator="greaterThanOrEqual" allowBlank="1" showInputMessage="1" showErrorMessage="1" errorTitle="Nedopušten upis" error="Dopušten je upis samo pozitivnih cjelobrojnjih vrijednosti ili nule" sqref="I8:J9 I11:J12">
      <formula1>0</formula1>
    </dataValidation>
    <dataValidation type="whole" operator="greaterThanOrEqual" allowBlank="1" showInputMessage="1" showErrorMessage="1" errorTitle="Nedopušten upis" error="Dopušten je upis samo pozitivnih cjelobrojnih vrijednosti ili nule" sqref="I24:J2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0" fitToWidth="1" horizontalDpi="1200" verticalDpi="1200" orientation="portrait" paperSize="9" scale="87" r:id="rId1"/>
  <rowBreaks count="1" manualBreakCount="1">
    <brk id="55" max="9" man="1"/>
  </rowBreaks>
</worksheet>
</file>

<file path=xl/worksheets/sheet6.xml><?xml version="1.0" encoding="utf-8"?>
<worksheet xmlns="http://schemas.openxmlformats.org/spreadsheetml/2006/main" xmlns:r="http://schemas.openxmlformats.org/officeDocument/2006/relationships">
  <sheetPr>
    <pageSetUpPr fitToPage="1"/>
  </sheetPr>
  <dimension ref="A1:R8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7109375" style="65" customWidth="1"/>
    <col min="7" max="7" width="7.7109375" style="65" customWidth="1"/>
    <col min="8" max="8" width="5.57421875" style="65" bestFit="1" customWidth="1"/>
    <col min="9" max="10" width="14.7109375" style="65" customWidth="1"/>
    <col min="11" max="11" width="0.85546875" style="65" customWidth="1"/>
    <col min="12" max="12" width="9.140625" style="65" hidden="1" customWidth="1"/>
    <col min="13" max="14" width="11.140625" style="65" hidden="1" customWidth="1"/>
    <col min="15" max="16384" width="9.140625" style="65" hidden="1" customWidth="1"/>
  </cols>
  <sheetData>
    <row r="1" spans="1:18" ht="24.75" customHeight="1" thickBot="1">
      <c r="A1" s="105" t="s">
        <v>2610</v>
      </c>
      <c r="B1" s="54" t="s">
        <v>2609</v>
      </c>
      <c r="C1" s="54" t="s">
        <v>2612</v>
      </c>
      <c r="D1" s="54" t="s">
        <v>2027</v>
      </c>
      <c r="E1" s="54" t="s">
        <v>1209</v>
      </c>
      <c r="F1" s="54" t="s">
        <v>2463</v>
      </c>
      <c r="G1" s="54" t="s">
        <v>621</v>
      </c>
      <c r="H1" s="54" t="s">
        <v>622</v>
      </c>
      <c r="I1" s="54" t="s">
        <v>1210</v>
      </c>
      <c r="J1" s="55" t="s">
        <v>2611</v>
      </c>
      <c r="Q1" s="58">
        <f>MAX(Q2:Q3)</f>
        <v>0</v>
      </c>
      <c r="R1" s="57" t="s">
        <v>1208</v>
      </c>
    </row>
    <row r="2" spans="1:18" s="2" customFormat="1" ht="19.5" customHeight="1">
      <c r="A2" s="444" t="s">
        <v>1235</v>
      </c>
      <c r="B2" s="445"/>
      <c r="C2" s="445"/>
      <c r="D2" s="445"/>
      <c r="E2" s="445"/>
      <c r="F2" s="445"/>
      <c r="G2" s="445"/>
      <c r="H2" s="445"/>
      <c r="I2" s="446"/>
      <c r="J2" s="399" t="s">
        <v>2474</v>
      </c>
      <c r="Q2" s="58">
        <f>IF(MAX(I9:I78)&gt;0,1,0)</f>
        <v>0</v>
      </c>
      <c r="R2" s="57" t="s">
        <v>2327</v>
      </c>
    </row>
    <row r="3" spans="1:18" s="2" customFormat="1" ht="19.5" customHeight="1" thickBot="1">
      <c r="A3" s="447" t="str">
        <f>"za razdoblje "&amp;IF(RefStr!C4&lt;&gt;"",TEXT(RefStr!C4,"DD.MM.YYYY."),"__.__.____.")&amp;" do "&amp;IF(RefStr!F4&lt;&gt;"",TEXT(RefStr!F4,"DD.MM.YYYY."),"__.__.____.")</f>
        <v>za razdoblje 01.01.2016. do 31.12.2016.</v>
      </c>
      <c r="B3" s="448"/>
      <c r="C3" s="448"/>
      <c r="D3" s="448"/>
      <c r="E3" s="448"/>
      <c r="F3" s="448"/>
      <c r="G3" s="448"/>
      <c r="H3" s="448"/>
      <c r="I3" s="449"/>
      <c r="J3" s="452"/>
      <c r="Q3" s="58">
        <f>IF(MAX(J9:J78)&gt;0,1,0)</f>
        <v>0</v>
      </c>
      <c r="R3" s="57" t="s">
        <v>2328</v>
      </c>
    </row>
    <row r="4" spans="1:10" s="2" customFormat="1" ht="4.5" customHeight="1">
      <c r="A4" s="68"/>
      <c r="B4" s="69"/>
      <c r="C4" s="69"/>
      <c r="D4" s="69"/>
      <c r="E4" s="69"/>
      <c r="F4" s="69"/>
      <c r="G4" s="69"/>
      <c r="H4" s="69"/>
      <c r="I4" s="70"/>
      <c r="J4" s="71"/>
    </row>
    <row r="5" spans="1:10" s="2" customFormat="1" ht="19.5" customHeight="1">
      <c r="A5" s="407" t="str">
        <f>"Obveznik: "&amp;IF(RefStr!C27&lt;&gt;"",RefStr!C27,"________")&amp;";   "&amp;IF(RefStr!C29&lt;&gt;"",RefStr!C29,"_____________________________________________________________")&amp;";   "&amp;IF(RefStr!F31&lt;&gt;"",RefStr!F31,"_______________")</f>
        <v>Obveznik: 32247795989;   Croatia banka d.d.;   Zagreb</v>
      </c>
      <c r="B5" s="408"/>
      <c r="C5" s="408"/>
      <c r="D5" s="408"/>
      <c r="E5" s="408"/>
      <c r="F5" s="408"/>
      <c r="G5" s="408"/>
      <c r="H5" s="408"/>
      <c r="I5" s="408"/>
      <c r="J5" s="409"/>
    </row>
    <row r="6" spans="1:10" s="2" customFormat="1" ht="24.75" customHeight="1" thickBot="1">
      <c r="A6" s="456" t="s">
        <v>1605</v>
      </c>
      <c r="B6" s="457"/>
      <c r="C6" s="457"/>
      <c r="D6" s="457"/>
      <c r="E6" s="457"/>
      <c r="F6" s="457"/>
      <c r="G6" s="458"/>
      <c r="H6" s="80" t="s">
        <v>2728</v>
      </c>
      <c r="I6" s="80" t="s">
        <v>716</v>
      </c>
      <c r="J6" s="81" t="s">
        <v>717</v>
      </c>
    </row>
    <row r="7" spans="1:10" s="2" customFormat="1" ht="12">
      <c r="A7" s="453">
        <v>1</v>
      </c>
      <c r="B7" s="454"/>
      <c r="C7" s="454"/>
      <c r="D7" s="454"/>
      <c r="E7" s="454"/>
      <c r="F7" s="454"/>
      <c r="G7" s="455"/>
      <c r="H7" s="84">
        <v>2</v>
      </c>
      <c r="I7" s="83">
        <v>3</v>
      </c>
      <c r="J7" s="85">
        <v>4</v>
      </c>
    </row>
    <row r="8" spans="1:10" s="2" customFormat="1" ht="15.75" customHeight="1">
      <c r="A8" s="461" t="s">
        <v>2262</v>
      </c>
      <c r="B8" s="462"/>
      <c r="C8" s="462"/>
      <c r="D8" s="462"/>
      <c r="E8" s="462"/>
      <c r="F8" s="462"/>
      <c r="G8" s="462"/>
      <c r="H8" s="462"/>
      <c r="I8" s="462"/>
      <c r="J8" s="462"/>
    </row>
    <row r="9" spans="1:10" s="2" customFormat="1" ht="13.5" customHeight="1">
      <c r="A9" s="450" t="s">
        <v>1855</v>
      </c>
      <c r="B9" s="463"/>
      <c r="C9" s="463"/>
      <c r="D9" s="463"/>
      <c r="E9" s="463"/>
      <c r="F9" s="463"/>
      <c r="G9" s="463"/>
      <c r="H9" s="217">
        <v>111</v>
      </c>
      <c r="I9" s="237">
        <f>SUM(I10:I16)</f>
        <v>0</v>
      </c>
      <c r="J9" s="237">
        <f>SUM(J10:J16)</f>
        <v>0</v>
      </c>
    </row>
    <row r="10" spans="1:10" s="2" customFormat="1" ht="13.5" customHeight="1">
      <c r="A10" s="442" t="s">
        <v>299</v>
      </c>
      <c r="B10" s="443"/>
      <c r="C10" s="443"/>
      <c r="D10" s="443"/>
      <c r="E10" s="443"/>
      <c r="F10" s="443"/>
      <c r="G10" s="443"/>
      <c r="H10" s="217">
        <v>112</v>
      </c>
      <c r="I10" s="222"/>
      <c r="J10" s="222"/>
    </row>
    <row r="11" spans="1:10" s="2" customFormat="1" ht="13.5" customHeight="1">
      <c r="A11" s="442" t="s">
        <v>300</v>
      </c>
      <c r="B11" s="443"/>
      <c r="C11" s="443"/>
      <c r="D11" s="443"/>
      <c r="E11" s="443"/>
      <c r="F11" s="443"/>
      <c r="G11" s="443"/>
      <c r="H11" s="217">
        <v>113</v>
      </c>
      <c r="I11" s="222"/>
      <c r="J11" s="222"/>
    </row>
    <row r="12" spans="1:10" s="2" customFormat="1" ht="13.5" customHeight="1">
      <c r="A12" s="442" t="s">
        <v>301</v>
      </c>
      <c r="B12" s="443"/>
      <c r="C12" s="443"/>
      <c r="D12" s="443"/>
      <c r="E12" s="443"/>
      <c r="F12" s="443"/>
      <c r="G12" s="443"/>
      <c r="H12" s="217">
        <v>114</v>
      </c>
      <c r="I12" s="222"/>
      <c r="J12" s="222"/>
    </row>
    <row r="13" spans="1:10" s="2" customFormat="1" ht="13.5" customHeight="1">
      <c r="A13" s="442" t="s">
        <v>302</v>
      </c>
      <c r="B13" s="443"/>
      <c r="C13" s="443"/>
      <c r="D13" s="443"/>
      <c r="E13" s="443"/>
      <c r="F13" s="443"/>
      <c r="G13" s="443"/>
      <c r="H13" s="217">
        <v>115</v>
      </c>
      <c r="I13" s="222"/>
      <c r="J13" s="222"/>
    </row>
    <row r="14" spans="1:10" s="2" customFormat="1" ht="13.5" customHeight="1">
      <c r="A14" s="442" t="s">
        <v>303</v>
      </c>
      <c r="B14" s="443"/>
      <c r="C14" s="443"/>
      <c r="D14" s="443"/>
      <c r="E14" s="443"/>
      <c r="F14" s="443"/>
      <c r="G14" s="443"/>
      <c r="H14" s="217">
        <v>116</v>
      </c>
      <c r="I14" s="222"/>
      <c r="J14" s="222"/>
    </row>
    <row r="15" spans="1:10" s="2" customFormat="1" ht="13.5" customHeight="1">
      <c r="A15" s="442" t="s">
        <v>304</v>
      </c>
      <c r="B15" s="443"/>
      <c r="C15" s="443"/>
      <c r="D15" s="443"/>
      <c r="E15" s="443"/>
      <c r="F15" s="443"/>
      <c r="G15" s="443"/>
      <c r="H15" s="217">
        <v>117</v>
      </c>
      <c r="I15" s="222"/>
      <c r="J15" s="222"/>
    </row>
    <row r="16" spans="1:10" s="2" customFormat="1" ht="13.5" customHeight="1">
      <c r="A16" s="442" t="s">
        <v>305</v>
      </c>
      <c r="B16" s="443"/>
      <c r="C16" s="443"/>
      <c r="D16" s="443"/>
      <c r="E16" s="443"/>
      <c r="F16" s="443"/>
      <c r="G16" s="443"/>
      <c r="H16" s="217">
        <v>118</v>
      </c>
      <c r="I16" s="222"/>
      <c r="J16" s="222"/>
    </row>
    <row r="17" spans="1:10" s="2" customFormat="1" ht="13.5" customHeight="1">
      <c r="A17" s="450" t="s">
        <v>1856</v>
      </c>
      <c r="B17" s="451"/>
      <c r="C17" s="451"/>
      <c r="D17" s="451"/>
      <c r="E17" s="451"/>
      <c r="F17" s="451"/>
      <c r="G17" s="451"/>
      <c r="H17" s="217">
        <v>119</v>
      </c>
      <c r="I17" s="237">
        <f>SUM(I18:I20)</f>
        <v>0</v>
      </c>
      <c r="J17" s="237">
        <f>SUM(J18:J20)</f>
        <v>0</v>
      </c>
    </row>
    <row r="18" spans="1:10" s="2" customFormat="1" ht="13.5" customHeight="1">
      <c r="A18" s="442" t="s">
        <v>331</v>
      </c>
      <c r="B18" s="443"/>
      <c r="C18" s="443"/>
      <c r="D18" s="443"/>
      <c r="E18" s="443"/>
      <c r="F18" s="443"/>
      <c r="G18" s="443"/>
      <c r="H18" s="217">
        <v>120</v>
      </c>
      <c r="I18" s="222"/>
      <c r="J18" s="222"/>
    </row>
    <row r="19" spans="1:10" s="2" customFormat="1" ht="13.5" customHeight="1">
      <c r="A19" s="442" t="s">
        <v>2167</v>
      </c>
      <c r="B19" s="443"/>
      <c r="C19" s="443"/>
      <c r="D19" s="443"/>
      <c r="E19" s="443"/>
      <c r="F19" s="443"/>
      <c r="G19" s="443"/>
      <c r="H19" s="217">
        <v>121</v>
      </c>
      <c r="I19" s="222"/>
      <c r="J19" s="222"/>
    </row>
    <row r="20" spans="1:10" s="2" customFormat="1" ht="13.5" customHeight="1">
      <c r="A20" s="442" t="s">
        <v>2168</v>
      </c>
      <c r="B20" s="443"/>
      <c r="C20" s="443"/>
      <c r="D20" s="443"/>
      <c r="E20" s="443"/>
      <c r="F20" s="443"/>
      <c r="G20" s="443"/>
      <c r="H20" s="217">
        <v>122</v>
      </c>
      <c r="I20" s="222"/>
      <c r="J20" s="222"/>
    </row>
    <row r="21" spans="1:10" s="2" customFormat="1" ht="13.5" customHeight="1">
      <c r="A21" s="450" t="s">
        <v>1857</v>
      </c>
      <c r="B21" s="451"/>
      <c r="C21" s="451"/>
      <c r="D21" s="451"/>
      <c r="E21" s="451"/>
      <c r="F21" s="451"/>
      <c r="G21" s="451"/>
      <c r="H21" s="217">
        <v>123</v>
      </c>
      <c r="I21" s="237">
        <f>SUM(I22:I27)</f>
        <v>0</v>
      </c>
      <c r="J21" s="237">
        <f>SUM(J22:J27)</f>
        <v>0</v>
      </c>
    </row>
    <row r="22" spans="1:10" s="2" customFormat="1" ht="13.5" customHeight="1">
      <c r="A22" s="442" t="s">
        <v>325</v>
      </c>
      <c r="B22" s="443"/>
      <c r="C22" s="443"/>
      <c r="D22" s="443"/>
      <c r="E22" s="443"/>
      <c r="F22" s="443"/>
      <c r="G22" s="443"/>
      <c r="H22" s="217">
        <v>124</v>
      </c>
      <c r="I22" s="222"/>
      <c r="J22" s="222"/>
    </row>
    <row r="23" spans="1:10" s="2" customFormat="1" ht="13.5" customHeight="1">
      <c r="A23" s="442" t="s">
        <v>326</v>
      </c>
      <c r="B23" s="443"/>
      <c r="C23" s="443"/>
      <c r="D23" s="443"/>
      <c r="E23" s="443"/>
      <c r="F23" s="443"/>
      <c r="G23" s="443"/>
      <c r="H23" s="217">
        <v>125</v>
      </c>
      <c r="I23" s="222"/>
      <c r="J23" s="222"/>
    </row>
    <row r="24" spans="1:10" s="2" customFormat="1" ht="13.5" customHeight="1">
      <c r="A24" s="442" t="s">
        <v>327</v>
      </c>
      <c r="B24" s="443"/>
      <c r="C24" s="443"/>
      <c r="D24" s="443"/>
      <c r="E24" s="443"/>
      <c r="F24" s="443"/>
      <c r="G24" s="443"/>
      <c r="H24" s="217">
        <v>126</v>
      </c>
      <c r="I24" s="222"/>
      <c r="J24" s="222"/>
    </row>
    <row r="25" spans="1:10" s="2" customFormat="1" ht="13.5" customHeight="1">
      <c r="A25" s="442" t="s">
        <v>328</v>
      </c>
      <c r="B25" s="443"/>
      <c r="C25" s="443"/>
      <c r="D25" s="443"/>
      <c r="E25" s="443"/>
      <c r="F25" s="443"/>
      <c r="G25" s="443"/>
      <c r="H25" s="217">
        <v>127</v>
      </c>
      <c r="I25" s="222"/>
      <c r="J25" s="222"/>
    </row>
    <row r="26" spans="1:10" s="2" customFormat="1" ht="13.5" customHeight="1">
      <c r="A26" s="442" t="s">
        <v>329</v>
      </c>
      <c r="B26" s="443"/>
      <c r="C26" s="443"/>
      <c r="D26" s="443"/>
      <c r="E26" s="443"/>
      <c r="F26" s="443"/>
      <c r="G26" s="443"/>
      <c r="H26" s="217">
        <v>128</v>
      </c>
      <c r="I26" s="222"/>
      <c r="J26" s="222"/>
    </row>
    <row r="27" spans="1:10" s="2" customFormat="1" ht="13.5" customHeight="1">
      <c r="A27" s="442" t="s">
        <v>330</v>
      </c>
      <c r="B27" s="443"/>
      <c r="C27" s="443"/>
      <c r="D27" s="443"/>
      <c r="E27" s="443"/>
      <c r="F27" s="443"/>
      <c r="G27" s="443"/>
      <c r="H27" s="217">
        <v>129</v>
      </c>
      <c r="I27" s="222"/>
      <c r="J27" s="222"/>
    </row>
    <row r="28" spans="1:10" s="2" customFormat="1" ht="13.5" customHeight="1">
      <c r="A28" s="450" t="s">
        <v>306</v>
      </c>
      <c r="B28" s="451"/>
      <c r="C28" s="451"/>
      <c r="D28" s="451"/>
      <c r="E28" s="451"/>
      <c r="F28" s="451"/>
      <c r="G28" s="451"/>
      <c r="H28" s="217">
        <v>130</v>
      </c>
      <c r="I28" s="222"/>
      <c r="J28" s="222"/>
    </row>
    <row r="29" spans="1:10" s="2" customFormat="1" ht="24.75" customHeight="1">
      <c r="A29" s="450" t="s">
        <v>1858</v>
      </c>
      <c r="B29" s="451"/>
      <c r="C29" s="451"/>
      <c r="D29" s="451"/>
      <c r="E29" s="451"/>
      <c r="F29" s="451"/>
      <c r="G29" s="451"/>
      <c r="H29" s="217">
        <v>131</v>
      </c>
      <c r="I29" s="237">
        <f>SUM(I30:I36)</f>
        <v>0</v>
      </c>
      <c r="J29" s="237">
        <f>SUM(J30:J36)</f>
        <v>0</v>
      </c>
    </row>
    <row r="30" spans="1:10" s="2" customFormat="1" ht="24.75" customHeight="1">
      <c r="A30" s="442" t="s">
        <v>2255</v>
      </c>
      <c r="B30" s="443"/>
      <c r="C30" s="443"/>
      <c r="D30" s="443"/>
      <c r="E30" s="443"/>
      <c r="F30" s="443"/>
      <c r="G30" s="443"/>
      <c r="H30" s="217">
        <v>132</v>
      </c>
      <c r="I30" s="222"/>
      <c r="J30" s="222"/>
    </row>
    <row r="31" spans="1:10" s="2" customFormat="1" ht="24.75" customHeight="1">
      <c r="A31" s="442" t="s">
        <v>2256</v>
      </c>
      <c r="B31" s="443"/>
      <c r="C31" s="443"/>
      <c r="D31" s="443"/>
      <c r="E31" s="443"/>
      <c r="F31" s="443"/>
      <c r="G31" s="443"/>
      <c r="H31" s="217">
        <v>133</v>
      </c>
      <c r="I31" s="222"/>
      <c r="J31" s="222"/>
    </row>
    <row r="32" spans="1:10" s="2" customFormat="1" ht="24.75" customHeight="1">
      <c r="A32" s="442" t="s">
        <v>2257</v>
      </c>
      <c r="B32" s="443"/>
      <c r="C32" s="443"/>
      <c r="D32" s="443"/>
      <c r="E32" s="443"/>
      <c r="F32" s="443"/>
      <c r="G32" s="443"/>
      <c r="H32" s="217">
        <v>134</v>
      </c>
      <c r="I32" s="222"/>
      <c r="J32" s="222"/>
    </row>
    <row r="33" spans="1:10" s="2" customFormat="1" ht="24.75" customHeight="1">
      <c r="A33" s="442" t="s">
        <v>2258</v>
      </c>
      <c r="B33" s="443"/>
      <c r="C33" s="443"/>
      <c r="D33" s="443"/>
      <c r="E33" s="443"/>
      <c r="F33" s="443"/>
      <c r="G33" s="443"/>
      <c r="H33" s="217">
        <v>135</v>
      </c>
      <c r="I33" s="222"/>
      <c r="J33" s="222"/>
    </row>
    <row r="34" spans="1:10" s="2" customFormat="1" ht="24.75" customHeight="1">
      <c r="A34" s="442" t="s">
        <v>2259</v>
      </c>
      <c r="B34" s="443"/>
      <c r="C34" s="443"/>
      <c r="D34" s="443"/>
      <c r="E34" s="443"/>
      <c r="F34" s="443"/>
      <c r="G34" s="443"/>
      <c r="H34" s="217">
        <v>136</v>
      </c>
      <c r="I34" s="222"/>
      <c r="J34" s="222"/>
    </row>
    <row r="35" spans="1:10" s="2" customFormat="1" ht="24.75" customHeight="1">
      <c r="A35" s="442" t="s">
        <v>2260</v>
      </c>
      <c r="B35" s="443"/>
      <c r="C35" s="443"/>
      <c r="D35" s="443"/>
      <c r="E35" s="443"/>
      <c r="F35" s="443"/>
      <c r="G35" s="443"/>
      <c r="H35" s="217">
        <v>137</v>
      </c>
      <c r="I35" s="222"/>
      <c r="J35" s="222"/>
    </row>
    <row r="36" spans="1:10" s="2" customFormat="1" ht="13.5" customHeight="1">
      <c r="A36" s="442" t="s">
        <v>2169</v>
      </c>
      <c r="B36" s="443"/>
      <c r="C36" s="443"/>
      <c r="D36" s="443"/>
      <c r="E36" s="443"/>
      <c r="F36" s="443"/>
      <c r="G36" s="443"/>
      <c r="H36" s="217">
        <v>138</v>
      </c>
      <c r="I36" s="222"/>
      <c r="J36" s="222"/>
    </row>
    <row r="37" spans="1:10" s="2" customFormat="1" ht="13.5" customHeight="1">
      <c r="A37" s="450" t="s">
        <v>1859</v>
      </c>
      <c r="B37" s="451"/>
      <c r="C37" s="451"/>
      <c r="D37" s="451"/>
      <c r="E37" s="451"/>
      <c r="F37" s="451"/>
      <c r="G37" s="451"/>
      <c r="H37" s="217">
        <v>139</v>
      </c>
      <c r="I37" s="237">
        <f>SUM(I38:I41)</f>
        <v>0</v>
      </c>
      <c r="J37" s="237">
        <f>SUM(J38:J41)</f>
        <v>0</v>
      </c>
    </row>
    <row r="38" spans="1:10" s="2" customFormat="1" ht="13.5" customHeight="1">
      <c r="A38" s="442" t="s">
        <v>321</v>
      </c>
      <c r="B38" s="443"/>
      <c r="C38" s="443"/>
      <c r="D38" s="443"/>
      <c r="E38" s="443"/>
      <c r="F38" s="443"/>
      <c r="G38" s="443"/>
      <c r="H38" s="217">
        <v>140</v>
      </c>
      <c r="I38" s="222"/>
      <c r="J38" s="222"/>
    </row>
    <row r="39" spans="1:10" s="2" customFormat="1" ht="13.5" customHeight="1">
      <c r="A39" s="442" t="s">
        <v>322</v>
      </c>
      <c r="B39" s="443"/>
      <c r="C39" s="443"/>
      <c r="D39" s="443"/>
      <c r="E39" s="443"/>
      <c r="F39" s="443"/>
      <c r="G39" s="443"/>
      <c r="H39" s="217">
        <v>141</v>
      </c>
      <c r="I39" s="222"/>
      <c r="J39" s="222"/>
    </row>
    <row r="40" spans="1:10" s="2" customFormat="1" ht="13.5" customHeight="1">
      <c r="A40" s="442" t="s">
        <v>323</v>
      </c>
      <c r="B40" s="443"/>
      <c r="C40" s="443"/>
      <c r="D40" s="443"/>
      <c r="E40" s="443"/>
      <c r="F40" s="443"/>
      <c r="G40" s="443"/>
      <c r="H40" s="217">
        <v>142</v>
      </c>
      <c r="I40" s="222"/>
      <c r="J40" s="222"/>
    </row>
    <row r="41" spans="1:10" s="2" customFormat="1" ht="13.5" customHeight="1">
      <c r="A41" s="442" t="s">
        <v>324</v>
      </c>
      <c r="B41" s="443"/>
      <c r="C41" s="443"/>
      <c r="D41" s="443"/>
      <c r="E41" s="443"/>
      <c r="F41" s="443"/>
      <c r="G41" s="443"/>
      <c r="H41" s="217">
        <v>143</v>
      </c>
      <c r="I41" s="222"/>
      <c r="J41" s="222"/>
    </row>
    <row r="42" spans="1:10" s="2" customFormat="1" ht="13.5" customHeight="1">
      <c r="A42" s="450" t="s">
        <v>1860</v>
      </c>
      <c r="B42" s="451"/>
      <c r="C42" s="451"/>
      <c r="D42" s="451"/>
      <c r="E42" s="451"/>
      <c r="F42" s="451"/>
      <c r="G42" s="451"/>
      <c r="H42" s="217">
        <v>144</v>
      </c>
      <c r="I42" s="237">
        <f>SUM(I43:I49)</f>
        <v>0</v>
      </c>
      <c r="J42" s="237">
        <f>SUM(J43:J49)</f>
        <v>0</v>
      </c>
    </row>
    <row r="43" spans="1:10" s="2" customFormat="1" ht="13.5" customHeight="1">
      <c r="A43" s="442" t="s">
        <v>320</v>
      </c>
      <c r="B43" s="443"/>
      <c r="C43" s="443"/>
      <c r="D43" s="443"/>
      <c r="E43" s="443"/>
      <c r="F43" s="443"/>
      <c r="G43" s="443"/>
      <c r="H43" s="217">
        <v>145</v>
      </c>
      <c r="I43" s="222"/>
      <c r="J43" s="222"/>
    </row>
    <row r="44" spans="1:10" s="2" customFormat="1" ht="13.5" customHeight="1">
      <c r="A44" s="442" t="s">
        <v>319</v>
      </c>
      <c r="B44" s="443"/>
      <c r="C44" s="443"/>
      <c r="D44" s="443"/>
      <c r="E44" s="443"/>
      <c r="F44" s="443"/>
      <c r="G44" s="443"/>
      <c r="H44" s="217">
        <v>146</v>
      </c>
      <c r="I44" s="222"/>
      <c r="J44" s="222"/>
    </row>
    <row r="45" spans="1:10" s="2" customFormat="1" ht="13.5" customHeight="1">
      <c r="A45" s="442" t="s">
        <v>318</v>
      </c>
      <c r="B45" s="443"/>
      <c r="C45" s="443"/>
      <c r="D45" s="443"/>
      <c r="E45" s="443"/>
      <c r="F45" s="443"/>
      <c r="G45" s="443"/>
      <c r="H45" s="217">
        <v>147</v>
      </c>
      <c r="I45" s="222"/>
      <c r="J45" s="222"/>
    </row>
    <row r="46" spans="1:10" s="2" customFormat="1" ht="13.5" customHeight="1">
      <c r="A46" s="442" t="s">
        <v>317</v>
      </c>
      <c r="B46" s="443"/>
      <c r="C46" s="443"/>
      <c r="D46" s="443"/>
      <c r="E46" s="443"/>
      <c r="F46" s="443"/>
      <c r="G46" s="443"/>
      <c r="H46" s="217">
        <v>148</v>
      </c>
      <c r="I46" s="222"/>
      <c r="J46" s="222"/>
    </row>
    <row r="47" spans="1:10" s="2" customFormat="1" ht="13.5" customHeight="1">
      <c r="A47" s="442" t="s">
        <v>316</v>
      </c>
      <c r="B47" s="443"/>
      <c r="C47" s="443"/>
      <c r="D47" s="443"/>
      <c r="E47" s="443"/>
      <c r="F47" s="443"/>
      <c r="G47" s="443"/>
      <c r="H47" s="217">
        <v>149</v>
      </c>
      <c r="I47" s="222"/>
      <c r="J47" s="222"/>
    </row>
    <row r="48" spans="1:10" s="2" customFormat="1" ht="13.5" customHeight="1">
      <c r="A48" s="442" t="s">
        <v>315</v>
      </c>
      <c r="B48" s="443"/>
      <c r="C48" s="443"/>
      <c r="D48" s="443"/>
      <c r="E48" s="443"/>
      <c r="F48" s="443"/>
      <c r="G48" s="443"/>
      <c r="H48" s="217">
        <v>150</v>
      </c>
      <c r="I48" s="222"/>
      <c r="J48" s="222"/>
    </row>
    <row r="49" spans="1:10" s="2" customFormat="1" ht="13.5" customHeight="1">
      <c r="A49" s="442" t="s">
        <v>314</v>
      </c>
      <c r="B49" s="443"/>
      <c r="C49" s="443"/>
      <c r="D49" s="443"/>
      <c r="E49" s="443"/>
      <c r="F49" s="443"/>
      <c r="G49" s="443"/>
      <c r="H49" s="217">
        <v>151</v>
      </c>
      <c r="I49" s="222"/>
      <c r="J49" s="222"/>
    </row>
    <row r="50" spans="1:10" s="2" customFormat="1" ht="13.5" customHeight="1">
      <c r="A50" s="450" t="s">
        <v>1861</v>
      </c>
      <c r="B50" s="451"/>
      <c r="C50" s="451"/>
      <c r="D50" s="451"/>
      <c r="E50" s="451"/>
      <c r="F50" s="451"/>
      <c r="G50" s="451"/>
      <c r="H50" s="217">
        <v>152</v>
      </c>
      <c r="I50" s="237">
        <f>SUM(I51:I56)</f>
        <v>0</v>
      </c>
      <c r="J50" s="237">
        <f>SUM(J51:J56)</f>
        <v>0</v>
      </c>
    </row>
    <row r="51" spans="1:10" s="2" customFormat="1" ht="13.5" customHeight="1">
      <c r="A51" s="442" t="s">
        <v>308</v>
      </c>
      <c r="B51" s="443"/>
      <c r="C51" s="443"/>
      <c r="D51" s="443"/>
      <c r="E51" s="443"/>
      <c r="F51" s="443"/>
      <c r="G51" s="443"/>
      <c r="H51" s="217">
        <v>153</v>
      </c>
      <c r="I51" s="222"/>
      <c r="J51" s="222"/>
    </row>
    <row r="52" spans="1:10" s="2" customFormat="1" ht="13.5" customHeight="1">
      <c r="A52" s="442" t="s">
        <v>309</v>
      </c>
      <c r="B52" s="443"/>
      <c r="C52" s="443"/>
      <c r="D52" s="443"/>
      <c r="E52" s="443"/>
      <c r="F52" s="443"/>
      <c r="G52" s="443"/>
      <c r="H52" s="217">
        <v>154</v>
      </c>
      <c r="I52" s="222"/>
      <c r="J52" s="222"/>
    </row>
    <row r="53" spans="1:10" s="2" customFormat="1" ht="13.5" customHeight="1">
      <c r="A53" s="442" t="s">
        <v>310</v>
      </c>
      <c r="B53" s="443"/>
      <c r="C53" s="443"/>
      <c r="D53" s="443"/>
      <c r="E53" s="443"/>
      <c r="F53" s="443"/>
      <c r="G53" s="443"/>
      <c r="H53" s="217">
        <v>155</v>
      </c>
      <c r="I53" s="222"/>
      <c r="J53" s="222"/>
    </row>
    <row r="54" spans="1:10" s="2" customFormat="1" ht="13.5" customHeight="1">
      <c r="A54" s="442" t="s">
        <v>313</v>
      </c>
      <c r="B54" s="443"/>
      <c r="C54" s="443"/>
      <c r="D54" s="443"/>
      <c r="E54" s="443"/>
      <c r="F54" s="443"/>
      <c r="G54" s="443"/>
      <c r="H54" s="217">
        <v>156</v>
      </c>
      <c r="I54" s="222"/>
      <c r="J54" s="222"/>
    </row>
    <row r="55" spans="1:10" s="2" customFormat="1" ht="13.5" customHeight="1">
      <c r="A55" s="442" t="s">
        <v>312</v>
      </c>
      <c r="B55" s="443"/>
      <c r="C55" s="443"/>
      <c r="D55" s="443"/>
      <c r="E55" s="443"/>
      <c r="F55" s="443"/>
      <c r="G55" s="443"/>
      <c r="H55" s="217">
        <v>157</v>
      </c>
      <c r="I55" s="222"/>
      <c r="J55" s="222"/>
    </row>
    <row r="56" spans="1:10" s="2" customFormat="1" ht="13.5" customHeight="1">
      <c r="A56" s="442" t="s">
        <v>311</v>
      </c>
      <c r="B56" s="443"/>
      <c r="C56" s="443"/>
      <c r="D56" s="443"/>
      <c r="E56" s="443"/>
      <c r="F56" s="443"/>
      <c r="G56" s="443"/>
      <c r="H56" s="217">
        <v>158</v>
      </c>
      <c r="I56" s="222"/>
      <c r="J56" s="222"/>
    </row>
    <row r="57" spans="1:10" s="2" customFormat="1" ht="13.5" customHeight="1">
      <c r="A57" s="450" t="s">
        <v>307</v>
      </c>
      <c r="B57" s="451"/>
      <c r="C57" s="451"/>
      <c r="D57" s="451"/>
      <c r="E57" s="451"/>
      <c r="F57" s="451"/>
      <c r="G57" s="451"/>
      <c r="H57" s="217">
        <v>159</v>
      </c>
      <c r="I57" s="222"/>
      <c r="J57" s="222"/>
    </row>
    <row r="58" spans="1:10" s="2" customFormat="1" ht="13.5" customHeight="1">
      <c r="A58" s="450" t="s">
        <v>1862</v>
      </c>
      <c r="B58" s="451"/>
      <c r="C58" s="451"/>
      <c r="D58" s="451"/>
      <c r="E58" s="451"/>
      <c r="F58" s="451"/>
      <c r="G58" s="451"/>
      <c r="H58" s="217">
        <v>160</v>
      </c>
      <c r="I58" s="237">
        <f>SUM(I59:I61)</f>
        <v>0</v>
      </c>
      <c r="J58" s="237">
        <f>SUM(J59:J61)</f>
        <v>0</v>
      </c>
    </row>
    <row r="59" spans="1:10" s="2" customFormat="1" ht="13.5" customHeight="1">
      <c r="A59" s="442" t="s">
        <v>2170</v>
      </c>
      <c r="B59" s="443"/>
      <c r="C59" s="443"/>
      <c r="D59" s="443"/>
      <c r="E59" s="443"/>
      <c r="F59" s="443"/>
      <c r="G59" s="443"/>
      <c r="H59" s="217">
        <v>161</v>
      </c>
      <c r="I59" s="222"/>
      <c r="J59" s="222"/>
    </row>
    <row r="60" spans="1:10" s="2" customFormat="1" ht="13.5" customHeight="1">
      <c r="A60" s="442" t="s">
        <v>2171</v>
      </c>
      <c r="B60" s="443"/>
      <c r="C60" s="443"/>
      <c r="D60" s="443"/>
      <c r="E60" s="443"/>
      <c r="F60" s="443"/>
      <c r="G60" s="443"/>
      <c r="H60" s="217">
        <v>162</v>
      </c>
      <c r="I60" s="222"/>
      <c r="J60" s="222"/>
    </row>
    <row r="61" spans="1:10" s="2" customFormat="1" ht="13.5" customHeight="1">
      <c r="A61" s="442" t="s">
        <v>2172</v>
      </c>
      <c r="B61" s="443"/>
      <c r="C61" s="443"/>
      <c r="D61" s="443"/>
      <c r="E61" s="443"/>
      <c r="F61" s="443"/>
      <c r="G61" s="443"/>
      <c r="H61" s="217">
        <v>163</v>
      </c>
      <c r="I61" s="222"/>
      <c r="J61" s="222"/>
    </row>
    <row r="62" spans="1:10" s="2" customFormat="1" ht="13.5" customHeight="1">
      <c r="A62" s="450" t="s">
        <v>1863</v>
      </c>
      <c r="B62" s="451"/>
      <c r="C62" s="451"/>
      <c r="D62" s="451"/>
      <c r="E62" s="451"/>
      <c r="F62" s="451"/>
      <c r="G62" s="451"/>
      <c r="H62" s="217">
        <v>164</v>
      </c>
      <c r="I62" s="237">
        <f>SUM(I63:I64)</f>
        <v>0</v>
      </c>
      <c r="J62" s="237">
        <f>SUM(J63:J64)</f>
        <v>0</v>
      </c>
    </row>
    <row r="63" spans="1:10" s="2" customFormat="1" ht="13.5" customHeight="1">
      <c r="A63" s="442" t="s">
        <v>2173</v>
      </c>
      <c r="B63" s="443"/>
      <c r="C63" s="443"/>
      <c r="D63" s="443"/>
      <c r="E63" s="443"/>
      <c r="F63" s="443"/>
      <c r="G63" s="443"/>
      <c r="H63" s="217">
        <v>165</v>
      </c>
      <c r="I63" s="222"/>
      <c r="J63" s="222"/>
    </row>
    <row r="64" spans="1:10" s="2" customFormat="1" ht="13.5" customHeight="1">
      <c r="A64" s="442" t="s">
        <v>2174</v>
      </c>
      <c r="B64" s="443"/>
      <c r="C64" s="443"/>
      <c r="D64" s="443"/>
      <c r="E64" s="443"/>
      <c r="F64" s="443"/>
      <c r="G64" s="443"/>
      <c r="H64" s="217">
        <v>166</v>
      </c>
      <c r="I64" s="222"/>
      <c r="J64" s="222"/>
    </row>
    <row r="65" spans="1:10" s="2" customFormat="1" ht="13.5" customHeight="1">
      <c r="A65" s="450" t="s">
        <v>1864</v>
      </c>
      <c r="B65" s="451"/>
      <c r="C65" s="451"/>
      <c r="D65" s="451"/>
      <c r="E65" s="451"/>
      <c r="F65" s="451"/>
      <c r="G65" s="451"/>
      <c r="H65" s="217">
        <v>167</v>
      </c>
      <c r="I65" s="237">
        <f>I66+I71+I72</f>
        <v>0</v>
      </c>
      <c r="J65" s="237">
        <f>J66+J71+J72</f>
        <v>0</v>
      </c>
    </row>
    <row r="66" spans="1:10" s="2" customFormat="1" ht="13.5" customHeight="1">
      <c r="A66" s="442" t="s">
        <v>1865</v>
      </c>
      <c r="B66" s="443"/>
      <c r="C66" s="443"/>
      <c r="D66" s="443"/>
      <c r="E66" s="443"/>
      <c r="F66" s="443"/>
      <c r="G66" s="443"/>
      <c r="H66" s="217">
        <v>168</v>
      </c>
      <c r="I66" s="237">
        <f>SUM(I67:I70)</f>
        <v>0</v>
      </c>
      <c r="J66" s="237">
        <f>SUM(J67:J70)</f>
        <v>0</v>
      </c>
    </row>
    <row r="67" spans="1:10" s="2" customFormat="1" ht="13.5" customHeight="1">
      <c r="A67" s="459" t="s">
        <v>285</v>
      </c>
      <c r="B67" s="460"/>
      <c r="C67" s="460"/>
      <c r="D67" s="460"/>
      <c r="E67" s="460"/>
      <c r="F67" s="460"/>
      <c r="G67" s="460"/>
      <c r="H67" s="217">
        <v>169</v>
      </c>
      <c r="I67" s="222"/>
      <c r="J67" s="222"/>
    </row>
    <row r="68" spans="1:10" s="2" customFormat="1" ht="13.5" customHeight="1">
      <c r="A68" s="459" t="s">
        <v>286</v>
      </c>
      <c r="B68" s="460"/>
      <c r="C68" s="460"/>
      <c r="D68" s="460"/>
      <c r="E68" s="460"/>
      <c r="F68" s="460"/>
      <c r="G68" s="460"/>
      <c r="H68" s="217">
        <v>170</v>
      </c>
      <c r="I68" s="222"/>
      <c r="J68" s="222"/>
    </row>
    <row r="69" spans="1:10" s="2" customFormat="1" ht="13.5" customHeight="1">
      <c r="A69" s="459" t="s">
        <v>287</v>
      </c>
      <c r="B69" s="460"/>
      <c r="C69" s="460"/>
      <c r="D69" s="460"/>
      <c r="E69" s="460"/>
      <c r="F69" s="460"/>
      <c r="G69" s="460"/>
      <c r="H69" s="217">
        <v>171</v>
      </c>
      <c r="I69" s="222"/>
      <c r="J69" s="222"/>
    </row>
    <row r="70" spans="1:10" s="2" customFormat="1" ht="13.5" customHeight="1">
      <c r="A70" s="459" t="s">
        <v>288</v>
      </c>
      <c r="B70" s="460"/>
      <c r="C70" s="460"/>
      <c r="D70" s="460"/>
      <c r="E70" s="460"/>
      <c r="F70" s="460"/>
      <c r="G70" s="460"/>
      <c r="H70" s="217">
        <v>172</v>
      </c>
      <c r="I70" s="222"/>
      <c r="J70" s="222"/>
    </row>
    <row r="71" spans="1:10" s="2" customFormat="1" ht="13.5" customHeight="1">
      <c r="A71" s="442" t="s">
        <v>2175</v>
      </c>
      <c r="B71" s="443"/>
      <c r="C71" s="443"/>
      <c r="D71" s="443"/>
      <c r="E71" s="443"/>
      <c r="F71" s="443"/>
      <c r="G71" s="443"/>
      <c r="H71" s="217">
        <v>173</v>
      </c>
      <c r="I71" s="222"/>
      <c r="J71" s="222"/>
    </row>
    <row r="72" spans="1:10" s="2" customFormat="1" ht="13.5" customHeight="1">
      <c r="A72" s="442" t="s">
        <v>2176</v>
      </c>
      <c r="B72" s="443"/>
      <c r="C72" s="443"/>
      <c r="D72" s="443"/>
      <c r="E72" s="443"/>
      <c r="F72" s="443"/>
      <c r="G72" s="443"/>
      <c r="H72" s="217">
        <v>174</v>
      </c>
      <c r="I72" s="222"/>
      <c r="J72" s="222"/>
    </row>
    <row r="73" spans="1:10" s="2" customFormat="1" ht="13.5" customHeight="1">
      <c r="A73" s="450" t="s">
        <v>289</v>
      </c>
      <c r="B73" s="451"/>
      <c r="C73" s="451"/>
      <c r="D73" s="451"/>
      <c r="E73" s="451"/>
      <c r="F73" s="451"/>
      <c r="G73" s="451"/>
      <c r="H73" s="217">
        <v>175</v>
      </c>
      <c r="I73" s="222"/>
      <c r="J73" s="222"/>
    </row>
    <row r="74" spans="1:10" s="2" customFormat="1" ht="13.5" customHeight="1">
      <c r="A74" s="450" t="s">
        <v>290</v>
      </c>
      <c r="B74" s="451"/>
      <c r="C74" s="451"/>
      <c r="D74" s="451"/>
      <c r="E74" s="451"/>
      <c r="F74" s="451"/>
      <c r="G74" s="451"/>
      <c r="H74" s="217">
        <v>176</v>
      </c>
      <c r="I74" s="222"/>
      <c r="J74" s="222"/>
    </row>
    <row r="75" spans="1:10" s="2" customFormat="1" ht="13.5" customHeight="1">
      <c r="A75" s="450" t="s">
        <v>291</v>
      </c>
      <c r="B75" s="451"/>
      <c r="C75" s="451"/>
      <c r="D75" s="451"/>
      <c r="E75" s="451"/>
      <c r="F75" s="451"/>
      <c r="G75" s="451"/>
      <c r="H75" s="217">
        <v>177</v>
      </c>
      <c r="I75" s="222"/>
      <c r="J75" s="222"/>
    </row>
    <row r="76" spans="1:10" s="2" customFormat="1" ht="13.5" customHeight="1">
      <c r="A76" s="450" t="s">
        <v>292</v>
      </c>
      <c r="B76" s="451"/>
      <c r="C76" s="451"/>
      <c r="D76" s="451"/>
      <c r="E76" s="451"/>
      <c r="F76" s="451"/>
      <c r="G76" s="451"/>
      <c r="H76" s="217">
        <v>178</v>
      </c>
      <c r="I76" s="222"/>
      <c r="J76" s="222"/>
    </row>
    <row r="77" spans="1:10" s="2" customFormat="1" ht="13.5" customHeight="1">
      <c r="A77" s="450" t="s">
        <v>293</v>
      </c>
      <c r="B77" s="451"/>
      <c r="C77" s="451"/>
      <c r="D77" s="451"/>
      <c r="E77" s="451"/>
      <c r="F77" s="451"/>
      <c r="G77" s="451"/>
      <c r="H77" s="217">
        <v>179</v>
      </c>
      <c r="I77" s="222"/>
      <c r="J77" s="222"/>
    </row>
    <row r="78" spans="1:13" s="2" customFormat="1" ht="13.5" customHeight="1">
      <c r="A78" s="442" t="s">
        <v>2254</v>
      </c>
      <c r="B78" s="443"/>
      <c r="C78" s="443"/>
      <c r="D78" s="443"/>
      <c r="E78" s="443"/>
      <c r="F78" s="443"/>
      <c r="G78" s="443"/>
      <c r="H78" s="217">
        <v>180</v>
      </c>
      <c r="I78" s="222"/>
      <c r="J78" s="222"/>
      <c r="M78" s="67"/>
    </row>
    <row r="79" spans="1:16" ht="24.75" customHeight="1">
      <c r="A79" s="450" t="s">
        <v>2261</v>
      </c>
      <c r="B79" s="451"/>
      <c r="C79" s="451"/>
      <c r="D79" s="451"/>
      <c r="E79" s="451"/>
      <c r="F79" s="451"/>
      <c r="G79" s="451"/>
      <c r="H79" s="217">
        <v>181</v>
      </c>
      <c r="I79" s="222"/>
      <c r="J79" s="222"/>
      <c r="O79" s="2"/>
      <c r="P79" s="2"/>
    </row>
    <row r="80" spans="1:10" ht="13.5" customHeight="1">
      <c r="A80" s="450" t="s">
        <v>294</v>
      </c>
      <c r="B80" s="451"/>
      <c r="C80" s="451"/>
      <c r="D80" s="451"/>
      <c r="E80" s="451"/>
      <c r="F80" s="451"/>
      <c r="G80" s="451"/>
      <c r="H80" s="217">
        <v>182</v>
      </c>
      <c r="I80" s="222"/>
      <c r="J80" s="222"/>
    </row>
    <row r="81" spans="1:10" ht="13.5" customHeight="1">
      <c r="A81" s="450" t="s">
        <v>295</v>
      </c>
      <c r="B81" s="451"/>
      <c r="C81" s="451"/>
      <c r="D81" s="451"/>
      <c r="E81" s="451"/>
      <c r="F81" s="451"/>
      <c r="G81" s="451"/>
      <c r="H81" s="217">
        <v>183</v>
      </c>
      <c r="I81" s="222"/>
      <c r="J81" s="222"/>
    </row>
    <row r="82" spans="1:10" ht="13.5" customHeight="1">
      <c r="A82" s="450" t="s">
        <v>296</v>
      </c>
      <c r="B82" s="451"/>
      <c r="C82" s="451"/>
      <c r="D82" s="451"/>
      <c r="E82" s="451"/>
      <c r="F82" s="451"/>
      <c r="G82" s="451"/>
      <c r="H82" s="217">
        <v>184</v>
      </c>
      <c r="I82" s="222"/>
      <c r="J82" s="222"/>
    </row>
    <row r="83" spans="1:10" ht="13.5" customHeight="1">
      <c r="A83" s="450" t="s">
        <v>297</v>
      </c>
      <c r="B83" s="451"/>
      <c r="C83" s="451"/>
      <c r="D83" s="451"/>
      <c r="E83" s="451"/>
      <c r="F83" s="451"/>
      <c r="G83" s="451"/>
      <c r="H83" s="217">
        <v>185</v>
      </c>
      <c r="I83" s="222"/>
      <c r="J83" s="222"/>
    </row>
    <row r="84" spans="1:10" ht="13.5" customHeight="1">
      <c r="A84" s="464" t="s">
        <v>298</v>
      </c>
      <c r="B84" s="465"/>
      <c r="C84" s="465"/>
      <c r="D84" s="465"/>
      <c r="E84" s="465"/>
      <c r="F84" s="465"/>
      <c r="G84" s="465"/>
      <c r="H84" s="219">
        <v>186</v>
      </c>
      <c r="I84" s="223"/>
      <c r="J84" s="223"/>
    </row>
    <row r="85" ht="4.5" customHeight="1"/>
    <row r="86" ht="15" customHeight="1" hidden="1"/>
    <row r="87" ht="15" customHeight="1" hidden="1"/>
    <row r="88" ht="15" customHeight="1" hidden="1"/>
    <row r="89" ht="12" hidden="1"/>
  </sheetData>
  <sheetProtection password="C79A" sheet="1" objects="1" scenarios="1"/>
  <mergeCells count="83">
    <mergeCell ref="A84:G84"/>
    <mergeCell ref="A80:G80"/>
    <mergeCell ref="A81:G81"/>
    <mergeCell ref="A82:G82"/>
    <mergeCell ref="A83:G83"/>
    <mergeCell ref="A57:G57"/>
    <mergeCell ref="A61:G61"/>
    <mergeCell ref="A60:G60"/>
    <mergeCell ref="A79:G79"/>
    <mergeCell ref="A65:G65"/>
    <mergeCell ref="A62:G62"/>
    <mergeCell ref="A63:G63"/>
    <mergeCell ref="A58:G58"/>
    <mergeCell ref="A73:G73"/>
    <mergeCell ref="A76:G76"/>
    <mergeCell ref="A8:J8"/>
    <mergeCell ref="A9:G9"/>
    <mergeCell ref="A10:G10"/>
    <mergeCell ref="A11:G11"/>
    <mergeCell ref="A74:G74"/>
    <mergeCell ref="A75:G75"/>
    <mergeCell ref="A78:G78"/>
    <mergeCell ref="A64:G64"/>
    <mergeCell ref="A70:G70"/>
    <mergeCell ref="A71:G71"/>
    <mergeCell ref="A69:G69"/>
    <mergeCell ref="A68:G68"/>
    <mergeCell ref="A66:G66"/>
    <mergeCell ref="A67:G67"/>
    <mergeCell ref="A77:G77"/>
    <mergeCell ref="A72:G72"/>
    <mergeCell ref="A41:G41"/>
    <mergeCell ref="A50:G50"/>
    <mergeCell ref="A51:G51"/>
    <mergeCell ref="A42:G42"/>
    <mergeCell ref="A43:G43"/>
    <mergeCell ref="A48:G48"/>
    <mergeCell ref="A55:G55"/>
    <mergeCell ref="A56:G56"/>
    <mergeCell ref="A54:G54"/>
    <mergeCell ref="A59:G59"/>
    <mergeCell ref="A52:G52"/>
    <mergeCell ref="A53:G53"/>
    <mergeCell ref="A44:G44"/>
    <mergeCell ref="A45:G45"/>
    <mergeCell ref="A49:G49"/>
    <mergeCell ref="A46:G46"/>
    <mergeCell ref="A47:G47"/>
    <mergeCell ref="A34:G34"/>
    <mergeCell ref="A18:G18"/>
    <mergeCell ref="A19:G19"/>
    <mergeCell ref="A27:G27"/>
    <mergeCell ref="A28:G28"/>
    <mergeCell ref="A25:G25"/>
    <mergeCell ref="A26:G26"/>
    <mergeCell ref="A33:G33"/>
    <mergeCell ref="A31:G31"/>
    <mergeCell ref="A16:G16"/>
    <mergeCell ref="A17:G17"/>
    <mergeCell ref="A40:G40"/>
    <mergeCell ref="A38:G38"/>
    <mergeCell ref="A39:G39"/>
    <mergeCell ref="A21:G21"/>
    <mergeCell ref="A20:G20"/>
    <mergeCell ref="A36:G36"/>
    <mergeCell ref="A37:G37"/>
    <mergeCell ref="A35:G35"/>
    <mergeCell ref="J2:J3"/>
    <mergeCell ref="A7:G7"/>
    <mergeCell ref="A5:J5"/>
    <mergeCell ref="A6:G6"/>
    <mergeCell ref="A12:G12"/>
    <mergeCell ref="A13:G13"/>
    <mergeCell ref="A14:G14"/>
    <mergeCell ref="A2:I2"/>
    <mergeCell ref="A3:I3"/>
    <mergeCell ref="A32:G32"/>
    <mergeCell ref="A29:G29"/>
    <mergeCell ref="A30:G30"/>
    <mergeCell ref="A15:G15"/>
    <mergeCell ref="A23:G23"/>
    <mergeCell ref="A24:G24"/>
    <mergeCell ref="A22:G22"/>
  </mergeCells>
  <conditionalFormatting sqref="I62:J84 I9:J35 I37:J60">
    <cfRule type="cellIs" priority="1" dxfId="2" operator="notEqual" stopIfTrue="1">
      <formula>ROUND(I9,0)</formula>
    </cfRule>
    <cfRule type="cellIs" priority="2" dxfId="1" operator="lessThan" stopIfTrue="1">
      <formula>0</formula>
    </cfRule>
  </conditionalFormatting>
  <conditionalFormatting sqref="I61:J61 I36:J36">
    <cfRule type="cellIs" priority="3" dxfId="2" operator="notEqual" stopIfTrue="1">
      <formula>ROUND(I36,0)</formula>
    </cfRule>
  </conditionalFormatting>
  <dataValidations count="2">
    <dataValidation type="whole" operator="greaterThanOrEqual" allowBlank="1" showInputMessage="1" showErrorMessage="1" errorTitle="Nedopušten upis" error="Dopušten je upis samo cjelobrojnih pozitivinih vrijednosti ili nule" sqref="I9:J35 I37:J60 I62:J84">
      <formula1>0</formula1>
    </dataValidation>
    <dataValidation type="whole" operator="notEqual" allowBlank="1" showInputMessage="1" showErrorMessage="1" errorTitle="Nedopušten upis" error="Dopušten je upis samo cjelobrojnih pozitivinih vrijednosti ili nule" sqref="I36:J36 I61:J61">
      <formula1>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0" fitToWidth="1" horizontalDpi="1200" verticalDpi="12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65" customWidth="1"/>
    <col min="7" max="8" width="5.7109375" style="65" customWidth="1"/>
    <col min="9" max="10" width="14.7109375" style="65" customWidth="1"/>
    <col min="11" max="11" width="0.85546875" style="65" customWidth="1"/>
    <col min="12" max="16384" width="9.140625" style="65" hidden="1" customWidth="1"/>
  </cols>
  <sheetData>
    <row r="1" spans="1:18" ht="24.75" customHeight="1" thickBot="1">
      <c r="A1" s="105" t="s">
        <v>2610</v>
      </c>
      <c r="B1" s="54" t="s">
        <v>2609</v>
      </c>
      <c r="C1" s="54" t="s">
        <v>2612</v>
      </c>
      <c r="D1" s="54" t="s">
        <v>2027</v>
      </c>
      <c r="E1" s="54" t="s">
        <v>1209</v>
      </c>
      <c r="F1" s="54" t="s">
        <v>2463</v>
      </c>
      <c r="G1" s="54" t="s">
        <v>621</v>
      </c>
      <c r="H1" s="54" t="s">
        <v>622</v>
      </c>
      <c r="I1" s="54" t="s">
        <v>1210</v>
      </c>
      <c r="J1" s="55" t="s">
        <v>2611</v>
      </c>
      <c r="Q1" s="58">
        <f>IF(OR(MIN(I8:J53)&lt;0,MAX(I8:J53)&gt;0),1,0)</f>
        <v>1</v>
      </c>
      <c r="R1" s="57" t="s">
        <v>1208</v>
      </c>
    </row>
    <row r="2" spans="1:18" s="2" customFormat="1" ht="19.5" customHeight="1">
      <c r="A2" s="444" t="s">
        <v>876</v>
      </c>
      <c r="B2" s="445"/>
      <c r="C2" s="445"/>
      <c r="D2" s="445"/>
      <c r="E2" s="445"/>
      <c r="F2" s="445"/>
      <c r="G2" s="445"/>
      <c r="H2" s="445"/>
      <c r="I2" s="475"/>
      <c r="J2" s="399" t="s">
        <v>2472</v>
      </c>
      <c r="Q2" s="58">
        <f>IF(OR(MIN(I8:I53)&lt;0,MAX(I8:I53)&gt;0),1,0)</f>
        <v>1</v>
      </c>
      <c r="R2" s="57" t="s">
        <v>2327</v>
      </c>
    </row>
    <row r="3" spans="1:18" s="2" customFormat="1" ht="19.5" customHeight="1" thickBot="1">
      <c r="A3" s="447" t="str">
        <f>"u razdoblju "&amp;IF(RefStr!C4&lt;&gt;"",TEXT(RefStr!C4,"DD.MM.YYYY."),"__.__.____.")&amp;" do "&amp;IF(RefStr!F4&lt;&gt;"",TEXT(RefStr!F4,"DD.MM.YYYY."),"__.__.____.")</f>
        <v>u razdoblju 01.01.2016. do 31.12.2016.</v>
      </c>
      <c r="B3" s="448"/>
      <c r="C3" s="448"/>
      <c r="D3" s="448"/>
      <c r="E3" s="448"/>
      <c r="F3" s="448"/>
      <c r="G3" s="448"/>
      <c r="H3" s="448"/>
      <c r="I3" s="476"/>
      <c r="J3" s="452"/>
      <c r="Q3" s="58">
        <f>IF(OR(MIN(J8:J53)&lt;0,MAX(J8:J53)&gt;0),1,0)</f>
        <v>1</v>
      </c>
      <c r="R3" s="57" t="s">
        <v>2328</v>
      </c>
    </row>
    <row r="4" spans="1:9" s="2" customFormat="1" ht="4.5" customHeight="1">
      <c r="A4" s="86"/>
      <c r="B4" s="69"/>
      <c r="C4" s="69"/>
      <c r="D4" s="69"/>
      <c r="E4" s="69"/>
      <c r="F4" s="69"/>
      <c r="G4" s="69"/>
      <c r="H4" s="69"/>
      <c r="I4" s="70"/>
    </row>
    <row r="5" spans="1:10" s="2" customFormat="1" ht="15" customHeight="1">
      <c r="A5" s="407" t="str">
        <f>"Obveznik: "&amp;IF(RefStr!C27&lt;&gt;"",RefStr!C27,"________")&amp;";   "&amp;IF(RefStr!C29&lt;&gt;"",RefStr!C29,"_____________________________________________________________")&amp;";   "&amp;IF(RefStr!F31&lt;&gt;"",RefStr!F31,"_______________")</f>
        <v>Obveznik: 32247795989;   Croatia banka d.d.;   Zagreb</v>
      </c>
      <c r="B5" s="408"/>
      <c r="C5" s="408"/>
      <c r="D5" s="408"/>
      <c r="E5" s="408"/>
      <c r="F5" s="408"/>
      <c r="G5" s="408"/>
      <c r="H5" s="408"/>
      <c r="I5" s="408"/>
      <c r="J5" s="409"/>
    </row>
    <row r="6" spans="1:10" s="2" customFormat="1" ht="24.75" customHeight="1" thickBot="1">
      <c r="A6" s="477" t="s">
        <v>1605</v>
      </c>
      <c r="B6" s="478"/>
      <c r="C6" s="478"/>
      <c r="D6" s="478"/>
      <c r="E6" s="478"/>
      <c r="F6" s="478"/>
      <c r="G6" s="73" t="s">
        <v>2728</v>
      </c>
      <c r="H6" s="75" t="s">
        <v>1446</v>
      </c>
      <c r="I6" s="73" t="s">
        <v>716</v>
      </c>
      <c r="J6" s="74" t="s">
        <v>717</v>
      </c>
    </row>
    <row r="7" spans="1:10" s="2" customFormat="1" ht="13.5" customHeight="1">
      <c r="A7" s="479">
        <v>1</v>
      </c>
      <c r="B7" s="480"/>
      <c r="C7" s="480"/>
      <c r="D7" s="480"/>
      <c r="E7" s="480"/>
      <c r="F7" s="480"/>
      <c r="G7" s="87">
        <v>2</v>
      </c>
      <c r="H7" s="88">
        <v>3</v>
      </c>
      <c r="I7" s="89">
        <v>4</v>
      </c>
      <c r="J7" s="90">
        <v>5</v>
      </c>
    </row>
    <row r="8" spans="1:10" s="2" customFormat="1" ht="15" customHeight="1">
      <c r="A8" s="472" t="s">
        <v>971</v>
      </c>
      <c r="B8" s="473"/>
      <c r="C8" s="473"/>
      <c r="D8" s="473"/>
      <c r="E8" s="473"/>
      <c r="F8" s="473"/>
      <c r="G8" s="473"/>
      <c r="H8" s="473"/>
      <c r="I8" s="473"/>
      <c r="J8" s="473"/>
    </row>
    <row r="9" spans="1:10" s="2" customFormat="1" ht="24.75" customHeight="1">
      <c r="A9" s="467" t="s">
        <v>1992</v>
      </c>
      <c r="B9" s="474"/>
      <c r="C9" s="474"/>
      <c r="D9" s="474"/>
      <c r="E9" s="474"/>
      <c r="F9" s="474"/>
      <c r="G9" s="217">
        <v>1</v>
      </c>
      <c r="H9" s="209" t="s">
        <v>2783</v>
      </c>
      <c r="I9" s="225">
        <f>SUM(I10:I15)</f>
        <v>26063673</v>
      </c>
      <c r="J9" s="225">
        <f>SUM(J10:J15)</f>
        <v>21424591</v>
      </c>
    </row>
    <row r="10" spans="1:10" s="2" customFormat="1" ht="13.5" customHeight="1">
      <c r="A10" s="468" t="s">
        <v>1995</v>
      </c>
      <c r="B10" s="474"/>
      <c r="C10" s="474"/>
      <c r="D10" s="474"/>
      <c r="E10" s="474"/>
      <c r="F10" s="474"/>
      <c r="G10" s="217">
        <v>2</v>
      </c>
      <c r="H10" s="209" t="s">
        <v>2784</v>
      </c>
      <c r="I10" s="212">
        <v>2263694</v>
      </c>
      <c r="J10" s="212">
        <v>2663798</v>
      </c>
    </row>
    <row r="11" spans="1:10" s="2" customFormat="1" ht="13.5" customHeight="1">
      <c r="A11" s="468" t="s">
        <v>1994</v>
      </c>
      <c r="B11" s="474"/>
      <c r="C11" s="474"/>
      <c r="D11" s="474"/>
      <c r="E11" s="474"/>
      <c r="F11" s="474"/>
      <c r="G11" s="217">
        <v>3</v>
      </c>
      <c r="H11" s="209"/>
      <c r="I11" s="212">
        <v>22833557</v>
      </c>
      <c r="J11" s="212">
        <v>17139227</v>
      </c>
    </row>
    <row r="12" spans="1:10" s="2" customFormat="1" ht="13.5" customHeight="1">
      <c r="A12" s="468" t="s">
        <v>1993</v>
      </c>
      <c r="B12" s="474"/>
      <c r="C12" s="474"/>
      <c r="D12" s="474"/>
      <c r="E12" s="474"/>
      <c r="F12" s="474"/>
      <c r="G12" s="217">
        <v>4</v>
      </c>
      <c r="H12" s="209" t="s">
        <v>2785</v>
      </c>
      <c r="I12" s="212">
        <v>3342702</v>
      </c>
      <c r="J12" s="212">
        <v>3470108</v>
      </c>
    </row>
    <row r="13" spans="1:10" s="2" customFormat="1" ht="24.75" customHeight="1">
      <c r="A13" s="468" t="s">
        <v>1996</v>
      </c>
      <c r="B13" s="474"/>
      <c r="C13" s="474"/>
      <c r="D13" s="474"/>
      <c r="E13" s="474"/>
      <c r="F13" s="474"/>
      <c r="G13" s="217">
        <v>5</v>
      </c>
      <c r="H13" s="209" t="s">
        <v>2786</v>
      </c>
      <c r="I13" s="212">
        <v>0</v>
      </c>
      <c r="J13" s="212">
        <v>-46103</v>
      </c>
    </row>
    <row r="14" spans="1:12" s="2" customFormat="1" ht="13.5" customHeight="1">
      <c r="A14" s="468" t="s">
        <v>1866</v>
      </c>
      <c r="B14" s="474"/>
      <c r="C14" s="474"/>
      <c r="D14" s="474"/>
      <c r="E14" s="474"/>
      <c r="F14" s="474"/>
      <c r="G14" s="217">
        <v>6</v>
      </c>
      <c r="H14" s="209"/>
      <c r="I14" s="212">
        <v>-1069508</v>
      </c>
      <c r="J14" s="212">
        <v>-1592614</v>
      </c>
      <c r="L14" s="57"/>
    </row>
    <row r="15" spans="1:10" s="2" customFormat="1" ht="13.5" customHeight="1">
      <c r="A15" s="468" t="s">
        <v>1867</v>
      </c>
      <c r="B15" s="474"/>
      <c r="C15" s="474"/>
      <c r="D15" s="474"/>
      <c r="E15" s="474"/>
      <c r="F15" s="474"/>
      <c r="G15" s="217">
        <v>7</v>
      </c>
      <c r="H15" s="209"/>
      <c r="I15" s="212">
        <v>-1306772</v>
      </c>
      <c r="J15" s="212">
        <v>-209825</v>
      </c>
    </row>
    <row r="16" spans="1:10" s="2" customFormat="1" ht="13.5" customHeight="1">
      <c r="A16" s="467" t="s">
        <v>2074</v>
      </c>
      <c r="B16" s="474"/>
      <c r="C16" s="474"/>
      <c r="D16" s="474"/>
      <c r="E16" s="474"/>
      <c r="F16" s="474"/>
      <c r="G16" s="217">
        <v>8</v>
      </c>
      <c r="H16" s="209" t="s">
        <v>2787</v>
      </c>
      <c r="I16" s="225">
        <f>SUM(I17:I24)</f>
        <v>-100375031</v>
      </c>
      <c r="J16" s="225">
        <f>SUM(J17:J24)</f>
        <v>157390997</v>
      </c>
    </row>
    <row r="17" spans="1:10" s="2" customFormat="1" ht="13.5" customHeight="1">
      <c r="A17" s="468" t="s">
        <v>1997</v>
      </c>
      <c r="B17" s="474"/>
      <c r="C17" s="474"/>
      <c r="D17" s="474"/>
      <c r="E17" s="474"/>
      <c r="F17" s="474"/>
      <c r="G17" s="217">
        <v>9</v>
      </c>
      <c r="H17" s="209"/>
      <c r="I17" s="212">
        <v>-17866608</v>
      </c>
      <c r="J17" s="212">
        <v>34775677</v>
      </c>
    </row>
    <row r="18" spans="1:10" s="2" customFormat="1" ht="13.5" customHeight="1">
      <c r="A18" s="468" t="s">
        <v>1998</v>
      </c>
      <c r="B18" s="474"/>
      <c r="C18" s="474"/>
      <c r="D18" s="474"/>
      <c r="E18" s="474"/>
      <c r="F18" s="474"/>
      <c r="G18" s="217">
        <v>10</v>
      </c>
      <c r="H18" s="209"/>
      <c r="I18" s="212">
        <v>-38921432</v>
      </c>
      <c r="J18" s="212">
        <v>22044498</v>
      </c>
    </row>
    <row r="19" spans="1:14" s="2" customFormat="1" ht="13.5" customHeight="1">
      <c r="A19" s="468" t="s">
        <v>1999</v>
      </c>
      <c r="B19" s="474"/>
      <c r="C19" s="474"/>
      <c r="D19" s="474"/>
      <c r="E19" s="474"/>
      <c r="F19" s="474"/>
      <c r="G19" s="217">
        <v>11</v>
      </c>
      <c r="H19" s="209"/>
      <c r="I19" s="224"/>
      <c r="J19" s="212"/>
      <c r="N19" s="2" t="e">
        <f>IF(MIN(NT_I!I11:J11,NT_I!I15:J15,NT_I!I30:J37,NT_I!#REF!)&lt;0,1,0)</f>
        <v>#REF!</v>
      </c>
    </row>
    <row r="20" spans="1:10" s="2" customFormat="1" ht="13.5" customHeight="1">
      <c r="A20" s="468" t="s">
        <v>2000</v>
      </c>
      <c r="B20" s="474"/>
      <c r="C20" s="474"/>
      <c r="D20" s="474"/>
      <c r="E20" s="474"/>
      <c r="F20" s="474"/>
      <c r="G20" s="217">
        <v>12</v>
      </c>
      <c r="H20" s="209"/>
      <c r="I20" s="212">
        <v>-5450664</v>
      </c>
      <c r="J20" s="212">
        <v>287821043</v>
      </c>
    </row>
    <row r="21" spans="1:10" s="2" customFormat="1" ht="24.75" customHeight="1">
      <c r="A21" s="468" t="s">
        <v>2001</v>
      </c>
      <c r="B21" s="474"/>
      <c r="C21" s="474"/>
      <c r="D21" s="474"/>
      <c r="E21" s="474"/>
      <c r="F21" s="474"/>
      <c r="G21" s="217">
        <v>13</v>
      </c>
      <c r="H21" s="209"/>
      <c r="I21" s="212">
        <v>-45180611</v>
      </c>
      <c r="J21" s="212">
        <v>0</v>
      </c>
    </row>
    <row r="22" spans="1:10" s="2" customFormat="1" ht="13.5" customHeight="1">
      <c r="A22" s="468" t="s">
        <v>2002</v>
      </c>
      <c r="B22" s="474"/>
      <c r="C22" s="474"/>
      <c r="D22" s="474"/>
      <c r="E22" s="474"/>
      <c r="F22" s="474"/>
      <c r="G22" s="217">
        <v>14</v>
      </c>
      <c r="H22" s="209"/>
      <c r="I22" s="212">
        <v>0</v>
      </c>
      <c r="J22" s="212">
        <v>-174324695</v>
      </c>
    </row>
    <row r="23" spans="1:10" s="2" customFormat="1" ht="24.75" customHeight="1">
      <c r="A23" s="468" t="s">
        <v>73</v>
      </c>
      <c r="B23" s="468"/>
      <c r="C23" s="468"/>
      <c r="D23" s="468"/>
      <c r="E23" s="468"/>
      <c r="F23" s="468"/>
      <c r="G23" s="217">
        <v>15</v>
      </c>
      <c r="H23" s="209" t="s">
        <v>2788</v>
      </c>
      <c r="I23" s="212">
        <v>0</v>
      </c>
      <c r="J23" s="212">
        <v>0</v>
      </c>
    </row>
    <row r="24" spans="1:10" s="2" customFormat="1" ht="13.5" customHeight="1">
      <c r="A24" s="470" t="s">
        <v>74</v>
      </c>
      <c r="B24" s="470"/>
      <c r="C24" s="470"/>
      <c r="D24" s="470"/>
      <c r="E24" s="470"/>
      <c r="F24" s="470"/>
      <c r="G24" s="219">
        <v>16</v>
      </c>
      <c r="H24" s="210"/>
      <c r="I24" s="242">
        <v>7044284</v>
      </c>
      <c r="J24" s="242">
        <v>-12925526</v>
      </c>
    </row>
    <row r="25" spans="1:10" s="2" customFormat="1" ht="15" customHeight="1">
      <c r="A25" s="472" t="s">
        <v>878</v>
      </c>
      <c r="B25" s="473"/>
      <c r="C25" s="473"/>
      <c r="D25" s="473"/>
      <c r="E25" s="473"/>
      <c r="F25" s="473"/>
      <c r="G25" s="473"/>
      <c r="H25" s="473"/>
      <c r="I25" s="473"/>
      <c r="J25" s="473"/>
    </row>
    <row r="26" spans="1:10" s="2" customFormat="1" ht="13.5" customHeight="1">
      <c r="A26" s="467" t="s">
        <v>2073</v>
      </c>
      <c r="B26" s="468"/>
      <c r="C26" s="468"/>
      <c r="D26" s="468"/>
      <c r="E26" s="468"/>
      <c r="F26" s="468"/>
      <c r="G26" s="217">
        <v>17</v>
      </c>
      <c r="H26" s="209" t="s">
        <v>2789</v>
      </c>
      <c r="I26" s="225">
        <f>SUM(I27:I30)</f>
        <v>3270793</v>
      </c>
      <c r="J26" s="225">
        <f>SUM(J27:J30)</f>
        <v>6683272</v>
      </c>
    </row>
    <row r="27" spans="1:10" s="2" customFormat="1" ht="13.5" customHeight="1">
      <c r="A27" s="468" t="s">
        <v>1503</v>
      </c>
      <c r="B27" s="468"/>
      <c r="C27" s="468"/>
      <c r="D27" s="468"/>
      <c r="E27" s="468"/>
      <c r="F27" s="468"/>
      <c r="G27" s="217">
        <v>18</v>
      </c>
      <c r="H27" s="209" t="s">
        <v>2790</v>
      </c>
      <c r="I27" s="212">
        <v>-71333737</v>
      </c>
      <c r="J27" s="212">
        <v>-25998820</v>
      </c>
    </row>
    <row r="28" spans="1:10" s="2" customFormat="1" ht="13.5" customHeight="1">
      <c r="A28" s="468" t="s">
        <v>1504</v>
      </c>
      <c r="B28" s="468"/>
      <c r="C28" s="468"/>
      <c r="D28" s="468"/>
      <c r="E28" s="468"/>
      <c r="F28" s="468"/>
      <c r="G28" s="217">
        <v>19</v>
      </c>
      <c r="H28" s="209"/>
      <c r="I28" s="212">
        <v>93973334</v>
      </c>
      <c r="J28" s="212">
        <v>4543653</v>
      </c>
    </row>
    <row r="29" spans="1:10" s="2" customFormat="1" ht="13.5" customHeight="1">
      <c r="A29" s="469" t="s">
        <v>1517</v>
      </c>
      <c r="B29" s="469"/>
      <c r="C29" s="469"/>
      <c r="D29" s="469"/>
      <c r="E29" s="469"/>
      <c r="F29" s="469"/>
      <c r="G29" s="217">
        <v>20</v>
      </c>
      <c r="H29" s="209"/>
      <c r="I29" s="212"/>
      <c r="J29" s="212">
        <v>0</v>
      </c>
    </row>
    <row r="30" spans="1:10" s="2" customFormat="1" ht="13.5" customHeight="1">
      <c r="A30" s="468" t="s">
        <v>1505</v>
      </c>
      <c r="B30" s="468"/>
      <c r="C30" s="468"/>
      <c r="D30" s="468"/>
      <c r="E30" s="468"/>
      <c r="F30" s="468"/>
      <c r="G30" s="217">
        <v>21</v>
      </c>
      <c r="H30" s="209" t="s">
        <v>2791</v>
      </c>
      <c r="I30" s="212">
        <v>-19368804</v>
      </c>
      <c r="J30" s="212">
        <v>28138439</v>
      </c>
    </row>
    <row r="31" spans="1:10" s="2" customFormat="1" ht="24.75" customHeight="1">
      <c r="A31" s="467" t="s">
        <v>2072</v>
      </c>
      <c r="B31" s="468"/>
      <c r="C31" s="468"/>
      <c r="D31" s="468"/>
      <c r="E31" s="468"/>
      <c r="F31" s="468"/>
      <c r="G31" s="217">
        <v>22</v>
      </c>
      <c r="H31" s="209"/>
      <c r="I31" s="225">
        <f>I9+I16+I26</f>
        <v>-71040565</v>
      </c>
      <c r="J31" s="225">
        <f>J9+J16+J26</f>
        <v>185498860</v>
      </c>
    </row>
    <row r="32" spans="1:10" s="2" customFormat="1" ht="13.5" customHeight="1">
      <c r="A32" s="471" t="s">
        <v>1506</v>
      </c>
      <c r="B32" s="471"/>
      <c r="C32" s="471"/>
      <c r="D32" s="471"/>
      <c r="E32" s="471"/>
      <c r="F32" s="471"/>
      <c r="G32" s="217">
        <v>23</v>
      </c>
      <c r="H32" s="209"/>
      <c r="I32" s="212"/>
      <c r="J32" s="212"/>
    </row>
    <row r="33" spans="1:10" s="2" customFormat="1" ht="13.5" customHeight="1">
      <c r="A33" s="464" t="s">
        <v>31</v>
      </c>
      <c r="B33" s="466"/>
      <c r="C33" s="466"/>
      <c r="D33" s="466"/>
      <c r="E33" s="466"/>
      <c r="F33" s="466"/>
      <c r="G33" s="219">
        <v>24</v>
      </c>
      <c r="H33" s="210" t="s">
        <v>2792</v>
      </c>
      <c r="I33" s="226">
        <f>I31+I32</f>
        <v>-71040565</v>
      </c>
      <c r="J33" s="226">
        <f>J31+J32</f>
        <v>185498860</v>
      </c>
    </row>
    <row r="34" spans="1:10" s="2" customFormat="1" ht="15" customHeight="1">
      <c r="A34" s="472" t="s">
        <v>1513</v>
      </c>
      <c r="B34" s="473"/>
      <c r="C34" s="473"/>
      <c r="D34" s="473"/>
      <c r="E34" s="473"/>
      <c r="F34" s="473"/>
      <c r="G34" s="473"/>
      <c r="H34" s="473"/>
      <c r="I34" s="473"/>
      <c r="J34" s="473"/>
    </row>
    <row r="35" spans="1:10" s="2" customFormat="1" ht="15" customHeight="1">
      <c r="A35" s="450" t="s">
        <v>30</v>
      </c>
      <c r="B35" s="469"/>
      <c r="C35" s="469"/>
      <c r="D35" s="469"/>
      <c r="E35" s="469"/>
      <c r="F35" s="469"/>
      <c r="G35" s="217">
        <v>25</v>
      </c>
      <c r="H35" s="209"/>
      <c r="I35" s="225">
        <f>SUM(I36:I40)</f>
        <v>8032506</v>
      </c>
      <c r="J35" s="225">
        <f>SUM(J36:J40)</f>
        <v>-4351988</v>
      </c>
    </row>
    <row r="36" spans="1:10" s="2" customFormat="1" ht="24.75" customHeight="1">
      <c r="A36" s="468" t="s">
        <v>1869</v>
      </c>
      <c r="B36" s="468"/>
      <c r="C36" s="468"/>
      <c r="D36" s="468"/>
      <c r="E36" s="468"/>
      <c r="F36" s="468"/>
      <c r="G36" s="217">
        <v>26</v>
      </c>
      <c r="H36" s="209"/>
      <c r="I36" s="212">
        <v>3918615</v>
      </c>
      <c r="J36" s="212">
        <v>2461281</v>
      </c>
    </row>
    <row r="37" spans="1:10" s="2" customFormat="1" ht="24.75" customHeight="1">
      <c r="A37" s="468" t="s">
        <v>0</v>
      </c>
      <c r="B37" s="468"/>
      <c r="C37" s="468"/>
      <c r="D37" s="468"/>
      <c r="E37" s="468"/>
      <c r="F37" s="468"/>
      <c r="G37" s="217">
        <v>27</v>
      </c>
      <c r="H37" s="209"/>
      <c r="I37" s="212"/>
      <c r="J37" s="212"/>
    </row>
    <row r="38" spans="1:10" s="2" customFormat="1" ht="24.75" customHeight="1">
      <c r="A38" s="468" t="s">
        <v>1</v>
      </c>
      <c r="B38" s="468"/>
      <c r="C38" s="468"/>
      <c r="D38" s="468"/>
      <c r="E38" s="468"/>
      <c r="F38" s="468"/>
      <c r="G38" s="217">
        <v>28</v>
      </c>
      <c r="H38" s="209" t="s">
        <v>2793</v>
      </c>
      <c r="I38" s="212">
        <v>12592436</v>
      </c>
      <c r="J38" s="212">
        <v>-2746190</v>
      </c>
    </row>
    <row r="39" spans="1:10" s="2" customFormat="1" ht="13.5" customHeight="1">
      <c r="A39" s="468" t="s">
        <v>1507</v>
      </c>
      <c r="B39" s="468"/>
      <c r="C39" s="468"/>
      <c r="D39" s="468"/>
      <c r="E39" s="468"/>
      <c r="F39" s="468"/>
      <c r="G39" s="217">
        <v>29</v>
      </c>
      <c r="H39" s="209" t="s">
        <v>2794</v>
      </c>
      <c r="I39" s="212"/>
      <c r="J39" s="212"/>
    </row>
    <row r="40" spans="1:10" s="2" customFormat="1" ht="13.5" customHeight="1">
      <c r="A40" s="470" t="s">
        <v>1508</v>
      </c>
      <c r="B40" s="470"/>
      <c r="C40" s="470"/>
      <c r="D40" s="470"/>
      <c r="E40" s="470"/>
      <c r="F40" s="470"/>
      <c r="G40" s="219">
        <v>30</v>
      </c>
      <c r="H40" s="210" t="s">
        <v>2795</v>
      </c>
      <c r="I40" s="242">
        <v>-8478545</v>
      </c>
      <c r="J40" s="242">
        <v>-4067079</v>
      </c>
    </row>
    <row r="41" spans="1:10" s="2" customFormat="1" ht="15" customHeight="1">
      <c r="A41" s="472" t="s">
        <v>1514</v>
      </c>
      <c r="B41" s="473"/>
      <c r="C41" s="473"/>
      <c r="D41" s="473"/>
      <c r="E41" s="473"/>
      <c r="F41" s="473"/>
      <c r="G41" s="473"/>
      <c r="H41" s="473"/>
      <c r="I41" s="473"/>
      <c r="J41" s="473"/>
    </row>
    <row r="42" spans="1:10" s="2" customFormat="1" ht="13.5" customHeight="1">
      <c r="A42" s="450" t="s">
        <v>29</v>
      </c>
      <c r="B42" s="469"/>
      <c r="C42" s="469"/>
      <c r="D42" s="469"/>
      <c r="E42" s="469"/>
      <c r="F42" s="469"/>
      <c r="G42" s="217">
        <v>31</v>
      </c>
      <c r="H42" s="209"/>
      <c r="I42" s="225">
        <f>SUM(I43:I48)</f>
        <v>89310931</v>
      </c>
      <c r="J42" s="225">
        <f>SUM(J43:J48)</f>
        <v>-722883</v>
      </c>
    </row>
    <row r="43" spans="1:10" s="2" customFormat="1" ht="13.5" customHeight="1">
      <c r="A43" s="468" t="s">
        <v>1509</v>
      </c>
      <c r="B43" s="468"/>
      <c r="C43" s="468"/>
      <c r="D43" s="468"/>
      <c r="E43" s="468"/>
      <c r="F43" s="468"/>
      <c r="G43" s="217">
        <v>32</v>
      </c>
      <c r="H43" s="209"/>
      <c r="I43" s="212">
        <v>89310931</v>
      </c>
      <c r="J43" s="212">
        <v>-722883</v>
      </c>
    </row>
    <row r="44" spans="1:10" s="2" customFormat="1" ht="13.5" customHeight="1">
      <c r="A44" s="468" t="s">
        <v>1510</v>
      </c>
      <c r="B44" s="468"/>
      <c r="C44" s="468"/>
      <c r="D44" s="468"/>
      <c r="E44" s="468"/>
      <c r="F44" s="468"/>
      <c r="G44" s="217">
        <v>33</v>
      </c>
      <c r="H44" s="209" t="s">
        <v>2796</v>
      </c>
      <c r="I44" s="212"/>
      <c r="J44" s="212"/>
    </row>
    <row r="45" spans="1:10" s="2" customFormat="1" ht="13.5" customHeight="1">
      <c r="A45" s="469" t="s">
        <v>2</v>
      </c>
      <c r="B45" s="469"/>
      <c r="C45" s="469"/>
      <c r="D45" s="469"/>
      <c r="E45" s="469"/>
      <c r="F45" s="469"/>
      <c r="G45" s="217">
        <v>34</v>
      </c>
      <c r="H45" s="209"/>
      <c r="I45" s="212"/>
      <c r="J45" s="212"/>
    </row>
    <row r="46" spans="1:10" s="2" customFormat="1" ht="13.5" customHeight="1">
      <c r="A46" s="469" t="s">
        <v>702</v>
      </c>
      <c r="B46" s="469"/>
      <c r="C46" s="469"/>
      <c r="D46" s="469"/>
      <c r="E46" s="469"/>
      <c r="F46" s="469"/>
      <c r="G46" s="217">
        <v>35</v>
      </c>
      <c r="H46" s="209"/>
      <c r="I46" s="212"/>
      <c r="J46" s="212"/>
    </row>
    <row r="47" spans="1:10" s="2" customFormat="1" ht="13.5" customHeight="1">
      <c r="A47" s="468" t="s">
        <v>1511</v>
      </c>
      <c r="B47" s="468"/>
      <c r="C47" s="468"/>
      <c r="D47" s="468"/>
      <c r="E47" s="468"/>
      <c r="F47" s="468"/>
      <c r="G47" s="217">
        <v>36</v>
      </c>
      <c r="H47" s="209"/>
      <c r="I47" s="212"/>
      <c r="J47" s="212"/>
    </row>
    <row r="48" spans="1:10" s="2" customFormat="1" ht="13.5" customHeight="1">
      <c r="A48" s="468" t="s">
        <v>1512</v>
      </c>
      <c r="B48" s="468"/>
      <c r="C48" s="468"/>
      <c r="D48" s="468"/>
      <c r="E48" s="468"/>
      <c r="F48" s="468"/>
      <c r="G48" s="217">
        <v>37</v>
      </c>
      <c r="H48" s="209"/>
      <c r="I48" s="212"/>
      <c r="J48" s="212"/>
    </row>
    <row r="49" spans="1:10" s="2" customFormat="1" ht="24.75" customHeight="1">
      <c r="A49" s="450" t="s">
        <v>28</v>
      </c>
      <c r="B49" s="469"/>
      <c r="C49" s="469"/>
      <c r="D49" s="469"/>
      <c r="E49" s="469"/>
      <c r="F49" s="469"/>
      <c r="G49" s="217">
        <v>38</v>
      </c>
      <c r="H49" s="209"/>
      <c r="I49" s="225">
        <f>I33+I35+I42</f>
        <v>26302872</v>
      </c>
      <c r="J49" s="225">
        <f>J33+J35+J42</f>
        <v>180423989</v>
      </c>
    </row>
    <row r="50" spans="1:10" s="2" customFormat="1" ht="13.5" customHeight="1">
      <c r="A50" s="467" t="s">
        <v>1515</v>
      </c>
      <c r="B50" s="467"/>
      <c r="C50" s="467"/>
      <c r="D50" s="467"/>
      <c r="E50" s="467"/>
      <c r="F50" s="467"/>
      <c r="G50" s="217">
        <v>39</v>
      </c>
      <c r="H50" s="209" t="s">
        <v>2797</v>
      </c>
      <c r="I50" s="212"/>
      <c r="J50" s="212"/>
    </row>
    <row r="51" spans="1:10" s="2" customFormat="1" ht="13.5" customHeight="1">
      <c r="A51" s="450" t="s">
        <v>75</v>
      </c>
      <c r="B51" s="469"/>
      <c r="C51" s="469"/>
      <c r="D51" s="469"/>
      <c r="E51" s="469"/>
      <c r="F51" s="469"/>
      <c r="G51" s="217">
        <v>40</v>
      </c>
      <c r="H51" s="209"/>
      <c r="I51" s="225">
        <f>I49+I50</f>
        <v>26302872</v>
      </c>
      <c r="J51" s="225">
        <f>J49+J50</f>
        <v>180423989</v>
      </c>
    </row>
    <row r="52" spans="1:10" s="2" customFormat="1" ht="13.5" customHeight="1">
      <c r="A52" s="467" t="s">
        <v>1516</v>
      </c>
      <c r="B52" s="468"/>
      <c r="C52" s="468"/>
      <c r="D52" s="468"/>
      <c r="E52" s="468"/>
      <c r="F52" s="468"/>
      <c r="G52" s="217">
        <v>41</v>
      </c>
      <c r="H52" s="209"/>
      <c r="I52" s="212">
        <v>126531060</v>
      </c>
      <c r="J52" s="212">
        <v>152833932</v>
      </c>
    </row>
    <row r="53" spans="1:10" s="2" customFormat="1" ht="13.5" customHeight="1">
      <c r="A53" s="464" t="s">
        <v>76</v>
      </c>
      <c r="B53" s="466"/>
      <c r="C53" s="466"/>
      <c r="D53" s="466"/>
      <c r="E53" s="466"/>
      <c r="F53" s="466"/>
      <c r="G53" s="219">
        <v>42</v>
      </c>
      <c r="H53" s="210" t="s">
        <v>2798</v>
      </c>
      <c r="I53" s="226">
        <f>IF(I51+I52&gt;=0,I51+I52,0)</f>
        <v>152833932</v>
      </c>
      <c r="J53" s="226">
        <f>IF(J51+J52&gt;=0,J51+J52,0)</f>
        <v>333257921</v>
      </c>
    </row>
    <row r="54" spans="15:16" ht="4.5" customHeight="1">
      <c r="O54" s="2"/>
      <c r="P54" s="2"/>
    </row>
    <row r="55" spans="15:16" ht="12" hidden="1">
      <c r="O55" s="2"/>
      <c r="P55" s="2"/>
    </row>
    <row r="56" ht="12" hidden="1"/>
    <row r="57" ht="12" hidden="1"/>
    <row r="58" ht="12" hidden="1"/>
    <row r="59" ht="12" hidden="1"/>
    <row r="60" ht="12" hidden="1"/>
    <row r="61" ht="12" hidden="1"/>
    <row r="62" ht="12" hidden="1"/>
    <row r="63" ht="12" hidden="1"/>
    <row r="64" ht="12" hidden="1"/>
    <row r="65" ht="12" hidden="1"/>
    <row r="66" ht="12" hidden="1"/>
    <row r="67" ht="12" hidden="1"/>
  </sheetData>
  <sheetProtection password="C79A" sheet="1" objects="1" scenarios="1"/>
  <mergeCells count="52">
    <mergeCell ref="A17:F17"/>
    <mergeCell ref="A19:F19"/>
    <mergeCell ref="A11:F11"/>
    <mergeCell ref="A12:F12"/>
    <mergeCell ref="A13:F13"/>
    <mergeCell ref="A14:F14"/>
    <mergeCell ref="A15:F15"/>
    <mergeCell ref="A16:F16"/>
    <mergeCell ref="J2:J3"/>
    <mergeCell ref="A2:I2"/>
    <mergeCell ref="A3:I3"/>
    <mergeCell ref="A26:F26"/>
    <mergeCell ref="A25:J25"/>
    <mergeCell ref="A37:F37"/>
    <mergeCell ref="A5:J5"/>
    <mergeCell ref="A6:F6"/>
    <mergeCell ref="A7:F7"/>
    <mergeCell ref="A18:F18"/>
    <mergeCell ref="A9:F9"/>
    <mergeCell ref="A8:J8"/>
    <mergeCell ref="A10:F10"/>
    <mergeCell ref="A27:F27"/>
    <mergeCell ref="A38:F38"/>
    <mergeCell ref="A42:F42"/>
    <mergeCell ref="A20:F20"/>
    <mergeCell ref="A30:F30"/>
    <mergeCell ref="A21:F21"/>
    <mergeCell ref="A22:F22"/>
    <mergeCell ref="A41:J41"/>
    <mergeCell ref="A45:F45"/>
    <mergeCell ref="A31:F31"/>
    <mergeCell ref="A34:J34"/>
    <mergeCell ref="A23:F23"/>
    <mergeCell ref="A24:F24"/>
    <mergeCell ref="A29:F29"/>
    <mergeCell ref="A44:F44"/>
    <mergeCell ref="A28:F28"/>
    <mergeCell ref="A40:F40"/>
    <mergeCell ref="A32:F32"/>
    <mergeCell ref="A36:F36"/>
    <mergeCell ref="A33:F33"/>
    <mergeCell ref="A35:F35"/>
    <mergeCell ref="A39:F39"/>
    <mergeCell ref="A53:F53"/>
    <mergeCell ref="A50:F50"/>
    <mergeCell ref="A48:F48"/>
    <mergeCell ref="A49:F49"/>
    <mergeCell ref="A43:F43"/>
    <mergeCell ref="A46:F46"/>
    <mergeCell ref="A52:F52"/>
    <mergeCell ref="A47:F47"/>
    <mergeCell ref="A51:F51"/>
  </mergeCells>
  <conditionalFormatting sqref="I35:J40 I9:J24 I26:J33 I42:J53">
    <cfRule type="cellIs" priority="1" dxfId="2" operator="notEqual" stopIfTrue="1">
      <formula>ROUND(I9,0)</formula>
    </cfRule>
  </conditionalFormatting>
  <dataValidations count="1">
    <dataValidation type="whole" operator="notEqual" allowBlank="1" showInputMessage="1" showErrorMessage="1" errorTitle="Nedopušten upis" error="Dopušten je upis samo cjelobrojnih vrijednosti." sqref="I9:J24 I26:J33 I35:J40 I42:J53">
      <formula1>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65" customWidth="1"/>
    <col min="7" max="8" width="5.7109375" style="65" customWidth="1"/>
    <col min="9" max="10" width="14.7109375" style="65" customWidth="1"/>
    <col min="11" max="11" width="0.85546875" style="65" customWidth="1"/>
    <col min="12" max="12" width="9.140625" style="65" hidden="1" customWidth="1"/>
    <col min="13" max="13" width="11.140625" style="65" hidden="1" customWidth="1"/>
    <col min="14" max="15" width="9.57421875" style="65" hidden="1" customWidth="1"/>
    <col min="16" max="20" width="9.140625" style="65" hidden="1" customWidth="1"/>
    <col min="21" max="21" width="11.140625" style="65" hidden="1" customWidth="1"/>
    <col min="22" max="23" width="9.57421875" style="65" hidden="1" customWidth="1"/>
    <col min="24" max="16384" width="9.140625" style="65" hidden="1" customWidth="1"/>
  </cols>
  <sheetData>
    <row r="1" spans="1:18" ht="24.75" customHeight="1" thickBot="1">
      <c r="A1" s="227" t="s">
        <v>2610</v>
      </c>
      <c r="B1" s="54" t="s">
        <v>2609</v>
      </c>
      <c r="C1" s="54" t="s">
        <v>2612</v>
      </c>
      <c r="D1" s="54" t="s">
        <v>2027</v>
      </c>
      <c r="E1" s="54" t="s">
        <v>1209</v>
      </c>
      <c r="F1" s="54" t="s">
        <v>2463</v>
      </c>
      <c r="G1" s="54" t="s">
        <v>621</v>
      </c>
      <c r="H1" s="54" t="s">
        <v>622</v>
      </c>
      <c r="I1" s="54" t="s">
        <v>1210</v>
      </c>
      <c r="J1" s="55" t="s">
        <v>2611</v>
      </c>
      <c r="Q1" s="2">
        <f>IF(OR(MIN(I8:J56)&lt;0,MAX(I8:J56)&gt;0),1,0)</f>
        <v>0</v>
      </c>
      <c r="R1" s="57" t="s">
        <v>1208</v>
      </c>
    </row>
    <row r="2" spans="1:18" s="2" customFormat="1" ht="19.5" customHeight="1">
      <c r="A2" s="444" t="s">
        <v>877</v>
      </c>
      <c r="B2" s="445"/>
      <c r="C2" s="445"/>
      <c r="D2" s="445"/>
      <c r="E2" s="445"/>
      <c r="F2" s="445"/>
      <c r="G2" s="445"/>
      <c r="H2" s="445"/>
      <c r="I2" s="446"/>
      <c r="J2" s="399" t="s">
        <v>2473</v>
      </c>
      <c r="Q2" s="58">
        <f>IF(OR(MIN(I8:I56)&lt;0,MAX(I8:I56)&gt;0),1,0)</f>
        <v>0</v>
      </c>
      <c r="R2" s="57" t="s">
        <v>2327</v>
      </c>
    </row>
    <row r="3" spans="1:18" s="2" customFormat="1" ht="19.5" customHeight="1" thickBot="1">
      <c r="A3" s="447" t="str">
        <f>"u razdoblju "&amp;IF(RefStr!C4&lt;&gt;"",TEXT(RefStr!C4,"DD.MM.YYYY."),"__.__.____.")&amp;" do "&amp;IF(RefStr!F4&lt;&gt;"",TEXT(RefStr!F4,"DD.MM.YYYY."),"__.__.____.")</f>
        <v>u razdoblju 01.01.2016. do 31.12.2016.</v>
      </c>
      <c r="B3" s="448"/>
      <c r="C3" s="448"/>
      <c r="D3" s="448"/>
      <c r="E3" s="448"/>
      <c r="F3" s="448"/>
      <c r="G3" s="448"/>
      <c r="H3" s="448"/>
      <c r="I3" s="449"/>
      <c r="J3" s="452"/>
      <c r="Q3" s="58">
        <f>IF(OR(MIN(J8:J56)&lt;0,MAX(J8:J56)&gt;0),1,0)</f>
        <v>0</v>
      </c>
      <c r="R3" s="57" t="s">
        <v>2328</v>
      </c>
    </row>
    <row r="4" spans="1:9" s="2" customFormat="1" ht="4.5" customHeight="1">
      <c r="A4" s="91"/>
      <c r="B4" s="92"/>
      <c r="C4" s="92"/>
      <c r="D4" s="92"/>
      <c r="E4" s="92"/>
      <c r="F4" s="92"/>
      <c r="G4" s="92"/>
      <c r="H4" s="92"/>
      <c r="I4" s="93"/>
    </row>
    <row r="5" spans="1:10" s="2" customFormat="1" ht="19.5" customHeight="1">
      <c r="A5" s="407" t="str">
        <f>"Obveznik: "&amp;IF(RefStr!C27&lt;&gt;"",RefStr!C27,"________")&amp;";   "&amp;IF(RefStr!C29&lt;&gt;"",RefStr!C29,"_____________________________________________________________")&amp;";   "&amp;IF(RefStr!F31&lt;&gt;"",RefStr!F31,"_______________")</f>
        <v>Obveznik: 32247795989;   Croatia banka d.d.;   Zagreb</v>
      </c>
      <c r="B5" s="408"/>
      <c r="C5" s="408"/>
      <c r="D5" s="408"/>
      <c r="E5" s="408"/>
      <c r="F5" s="408"/>
      <c r="G5" s="408"/>
      <c r="H5" s="408"/>
      <c r="I5" s="408"/>
      <c r="J5" s="409"/>
    </row>
    <row r="6" spans="1:10" s="2" customFormat="1" ht="24.75" customHeight="1" thickBot="1">
      <c r="A6" s="477" t="s">
        <v>1605</v>
      </c>
      <c r="B6" s="478"/>
      <c r="C6" s="478"/>
      <c r="D6" s="478"/>
      <c r="E6" s="478"/>
      <c r="F6" s="478"/>
      <c r="G6" s="73" t="s">
        <v>2728</v>
      </c>
      <c r="H6" s="75" t="s">
        <v>1446</v>
      </c>
      <c r="I6" s="73" t="s">
        <v>716</v>
      </c>
      <c r="J6" s="74" t="s">
        <v>717</v>
      </c>
    </row>
    <row r="7" spans="1:10" s="2" customFormat="1" ht="13.5" customHeight="1">
      <c r="A7" s="479">
        <v>1</v>
      </c>
      <c r="B7" s="480"/>
      <c r="C7" s="480"/>
      <c r="D7" s="480"/>
      <c r="E7" s="480"/>
      <c r="F7" s="480"/>
      <c r="G7" s="87">
        <v>2</v>
      </c>
      <c r="H7" s="88">
        <v>3</v>
      </c>
      <c r="I7" s="89">
        <v>4</v>
      </c>
      <c r="J7" s="90">
        <v>5</v>
      </c>
    </row>
    <row r="8" spans="1:10" s="2" customFormat="1" ht="13.5" customHeight="1">
      <c r="A8" s="461" t="s">
        <v>971</v>
      </c>
      <c r="B8" s="462"/>
      <c r="C8" s="462"/>
      <c r="D8" s="462"/>
      <c r="E8" s="462"/>
      <c r="F8" s="462"/>
      <c r="G8" s="462"/>
      <c r="H8" s="462"/>
      <c r="I8" s="462"/>
      <c r="J8" s="462"/>
    </row>
    <row r="9" spans="1:10" s="2" customFormat="1" ht="13.5" customHeight="1">
      <c r="A9" s="467" t="s">
        <v>2083</v>
      </c>
      <c r="B9" s="468"/>
      <c r="C9" s="468"/>
      <c r="D9" s="468"/>
      <c r="E9" s="468"/>
      <c r="F9" s="468"/>
      <c r="G9" s="217">
        <v>1</v>
      </c>
      <c r="H9" s="209"/>
      <c r="I9" s="228">
        <f>SUM(I10:I17)</f>
        <v>0</v>
      </c>
      <c r="J9" s="228">
        <f>SUM(J10:J17)</f>
        <v>0</v>
      </c>
    </row>
    <row r="10" spans="1:10" s="2" customFormat="1" ht="13.5" customHeight="1">
      <c r="A10" s="468" t="s">
        <v>703</v>
      </c>
      <c r="B10" s="468"/>
      <c r="C10" s="468"/>
      <c r="D10" s="468"/>
      <c r="E10" s="468"/>
      <c r="F10" s="468"/>
      <c r="G10" s="217">
        <v>2</v>
      </c>
      <c r="H10" s="209"/>
      <c r="I10" s="214"/>
      <c r="J10" s="214"/>
    </row>
    <row r="11" spans="1:10" s="2" customFormat="1" ht="13.5" customHeight="1">
      <c r="A11" s="468" t="s">
        <v>704</v>
      </c>
      <c r="B11" s="468"/>
      <c r="C11" s="468"/>
      <c r="D11" s="468"/>
      <c r="E11" s="468"/>
      <c r="F11" s="468"/>
      <c r="G11" s="217">
        <v>3</v>
      </c>
      <c r="H11" s="209"/>
      <c r="I11" s="214"/>
      <c r="J11" s="214"/>
    </row>
    <row r="12" spans="1:10" s="2" customFormat="1" ht="13.5" customHeight="1">
      <c r="A12" s="468" t="s">
        <v>705</v>
      </c>
      <c r="B12" s="468"/>
      <c r="C12" s="468"/>
      <c r="D12" s="468"/>
      <c r="E12" s="468"/>
      <c r="F12" s="468"/>
      <c r="G12" s="217">
        <v>4</v>
      </c>
      <c r="H12" s="209"/>
      <c r="I12" s="214"/>
      <c r="J12" s="214"/>
    </row>
    <row r="13" spans="1:10" s="2" customFormat="1" ht="13.5" customHeight="1">
      <c r="A13" s="468" t="s">
        <v>706</v>
      </c>
      <c r="B13" s="468"/>
      <c r="C13" s="468"/>
      <c r="D13" s="468"/>
      <c r="E13" s="468"/>
      <c r="F13" s="468"/>
      <c r="G13" s="217">
        <v>5</v>
      </c>
      <c r="H13" s="209"/>
      <c r="I13" s="214"/>
      <c r="J13" s="214"/>
    </row>
    <row r="14" spans="1:10" s="2" customFormat="1" ht="13.5" customHeight="1">
      <c r="A14" s="468" t="s">
        <v>707</v>
      </c>
      <c r="B14" s="468"/>
      <c r="C14" s="468"/>
      <c r="D14" s="468"/>
      <c r="E14" s="468"/>
      <c r="F14" s="468"/>
      <c r="G14" s="217">
        <v>6</v>
      </c>
      <c r="H14" s="209"/>
      <c r="I14" s="214"/>
      <c r="J14" s="214"/>
    </row>
    <row r="15" spans="1:10" s="2" customFormat="1" ht="24.75" customHeight="1">
      <c r="A15" s="468" t="s">
        <v>82</v>
      </c>
      <c r="B15" s="468"/>
      <c r="C15" s="468"/>
      <c r="D15" s="468"/>
      <c r="E15" s="468"/>
      <c r="F15" s="468"/>
      <c r="G15" s="217">
        <v>7</v>
      </c>
      <c r="H15" s="209"/>
      <c r="I15" s="214"/>
      <c r="J15" s="214"/>
    </row>
    <row r="16" spans="1:10" s="2" customFormat="1" ht="13.5" customHeight="1">
      <c r="A16" s="468" t="s">
        <v>708</v>
      </c>
      <c r="B16" s="468"/>
      <c r="C16" s="468"/>
      <c r="D16" s="468"/>
      <c r="E16" s="468"/>
      <c r="F16" s="468"/>
      <c r="G16" s="217">
        <v>8</v>
      </c>
      <c r="H16" s="209"/>
      <c r="I16" s="214"/>
      <c r="J16" s="214"/>
    </row>
    <row r="17" spans="1:10" s="2" customFormat="1" ht="13.5" customHeight="1">
      <c r="A17" s="470" t="s">
        <v>709</v>
      </c>
      <c r="B17" s="470"/>
      <c r="C17" s="470"/>
      <c r="D17" s="470"/>
      <c r="E17" s="470"/>
      <c r="F17" s="470"/>
      <c r="G17" s="219">
        <v>9</v>
      </c>
      <c r="H17" s="210"/>
      <c r="I17" s="249"/>
      <c r="J17" s="249"/>
    </row>
    <row r="18" spans="1:10" s="2" customFormat="1" ht="13.5" customHeight="1">
      <c r="A18" s="461" t="s">
        <v>712</v>
      </c>
      <c r="B18" s="462"/>
      <c r="C18" s="462"/>
      <c r="D18" s="462"/>
      <c r="E18" s="462"/>
      <c r="F18" s="462"/>
      <c r="G18" s="462"/>
      <c r="H18" s="462"/>
      <c r="I18" s="462"/>
      <c r="J18" s="462"/>
    </row>
    <row r="19" spans="1:10" s="2" customFormat="1" ht="13.5" customHeight="1">
      <c r="A19" s="467" t="s">
        <v>2082</v>
      </c>
      <c r="B19" s="468"/>
      <c r="C19" s="468"/>
      <c r="D19" s="468"/>
      <c r="E19" s="468"/>
      <c r="F19" s="468"/>
      <c r="G19" s="217">
        <v>10</v>
      </c>
      <c r="H19" s="209"/>
      <c r="I19" s="228">
        <f>SUM(I20:I27)</f>
        <v>0</v>
      </c>
      <c r="J19" s="228">
        <f>SUM(J20:J27)</f>
        <v>0</v>
      </c>
    </row>
    <row r="20" spans="1:10" s="2" customFormat="1" ht="13.5" customHeight="1">
      <c r="A20" s="468" t="s">
        <v>972</v>
      </c>
      <c r="B20" s="468"/>
      <c r="C20" s="468"/>
      <c r="D20" s="468"/>
      <c r="E20" s="468"/>
      <c r="F20" s="468"/>
      <c r="G20" s="217">
        <v>11</v>
      </c>
      <c r="H20" s="209"/>
      <c r="I20" s="214"/>
      <c r="J20" s="214"/>
    </row>
    <row r="21" spans="1:10" s="2" customFormat="1" ht="13.5" customHeight="1">
      <c r="A21" s="468" t="s">
        <v>973</v>
      </c>
      <c r="B21" s="468"/>
      <c r="C21" s="468"/>
      <c r="D21" s="468"/>
      <c r="E21" s="468"/>
      <c r="F21" s="468"/>
      <c r="G21" s="217">
        <v>12</v>
      </c>
      <c r="H21" s="209"/>
      <c r="I21" s="214"/>
      <c r="J21" s="214"/>
    </row>
    <row r="22" spans="1:10" s="2" customFormat="1" ht="13.5" customHeight="1">
      <c r="A22" s="468" t="s">
        <v>1868</v>
      </c>
      <c r="B22" s="468"/>
      <c r="C22" s="468"/>
      <c r="D22" s="468"/>
      <c r="E22" s="468"/>
      <c r="F22" s="468"/>
      <c r="G22" s="217">
        <v>13</v>
      </c>
      <c r="H22" s="209"/>
      <c r="I22" s="214"/>
      <c r="J22" s="214"/>
    </row>
    <row r="23" spans="1:10" s="2" customFormat="1" ht="13.5" customHeight="1">
      <c r="A23" s="468" t="s">
        <v>1501</v>
      </c>
      <c r="B23" s="468"/>
      <c r="C23" s="468"/>
      <c r="D23" s="468"/>
      <c r="E23" s="468"/>
      <c r="F23" s="468"/>
      <c r="G23" s="217">
        <v>14</v>
      </c>
      <c r="H23" s="209"/>
      <c r="I23" s="214"/>
      <c r="J23" s="214"/>
    </row>
    <row r="24" spans="1:10" s="2" customFormat="1" ht="13.5" customHeight="1">
      <c r="A24" s="468" t="s">
        <v>83</v>
      </c>
      <c r="B24" s="468"/>
      <c r="C24" s="468"/>
      <c r="D24" s="468"/>
      <c r="E24" s="468"/>
      <c r="F24" s="468"/>
      <c r="G24" s="217">
        <v>15</v>
      </c>
      <c r="H24" s="209"/>
      <c r="I24" s="214"/>
      <c r="J24" s="214"/>
    </row>
    <row r="25" spans="1:10" s="2" customFormat="1" ht="13.5" customHeight="1">
      <c r="A25" s="468" t="s">
        <v>1502</v>
      </c>
      <c r="B25" s="468"/>
      <c r="C25" s="468"/>
      <c r="D25" s="468"/>
      <c r="E25" s="468"/>
      <c r="F25" s="468"/>
      <c r="G25" s="217">
        <v>16</v>
      </c>
      <c r="H25" s="209"/>
      <c r="I25" s="214"/>
      <c r="J25" s="214"/>
    </row>
    <row r="26" spans="1:10" s="2" customFormat="1" ht="24.75" customHeight="1">
      <c r="A26" s="468" t="s">
        <v>86</v>
      </c>
      <c r="B26" s="468"/>
      <c r="C26" s="468"/>
      <c r="D26" s="468"/>
      <c r="E26" s="468"/>
      <c r="F26" s="468"/>
      <c r="G26" s="217">
        <v>17</v>
      </c>
      <c r="H26" s="209"/>
      <c r="I26" s="214"/>
      <c r="J26" s="214"/>
    </row>
    <row r="27" spans="1:10" s="2" customFormat="1" ht="13.5" customHeight="1">
      <c r="A27" s="470" t="s">
        <v>710</v>
      </c>
      <c r="B27" s="470"/>
      <c r="C27" s="470"/>
      <c r="D27" s="470"/>
      <c r="E27" s="470"/>
      <c r="F27" s="470"/>
      <c r="G27" s="219">
        <v>18</v>
      </c>
      <c r="H27" s="210"/>
      <c r="I27" s="249"/>
      <c r="J27" s="249"/>
    </row>
    <row r="28" spans="1:10" s="2" customFormat="1" ht="15" customHeight="1">
      <c r="A28" s="461" t="s">
        <v>878</v>
      </c>
      <c r="B28" s="462"/>
      <c r="C28" s="462"/>
      <c r="D28" s="462"/>
      <c r="E28" s="462"/>
      <c r="F28" s="462"/>
      <c r="G28" s="462"/>
      <c r="H28" s="462"/>
      <c r="I28" s="462"/>
      <c r="J28" s="462"/>
    </row>
    <row r="29" spans="1:10" s="2" customFormat="1" ht="13.5" customHeight="1">
      <c r="A29" s="467" t="s">
        <v>2081</v>
      </c>
      <c r="B29" s="467"/>
      <c r="C29" s="467"/>
      <c r="D29" s="467"/>
      <c r="E29" s="467"/>
      <c r="F29" s="467"/>
      <c r="G29" s="217">
        <v>19</v>
      </c>
      <c r="H29" s="209"/>
      <c r="I29" s="228">
        <f>SUM(I30:I33)</f>
        <v>0</v>
      </c>
      <c r="J29" s="228">
        <f>SUM(J30:J33)</f>
        <v>0</v>
      </c>
    </row>
    <row r="30" spans="1:10" s="2" customFormat="1" ht="13.5" customHeight="1">
      <c r="A30" s="468" t="s">
        <v>1503</v>
      </c>
      <c r="B30" s="468"/>
      <c r="C30" s="468"/>
      <c r="D30" s="468"/>
      <c r="E30" s="468"/>
      <c r="F30" s="468"/>
      <c r="G30" s="217">
        <v>20</v>
      </c>
      <c r="H30" s="209"/>
      <c r="I30" s="214"/>
      <c r="J30" s="214"/>
    </row>
    <row r="31" spans="1:10" s="2" customFormat="1" ht="13.5" customHeight="1">
      <c r="A31" s="468" t="s">
        <v>1504</v>
      </c>
      <c r="B31" s="468"/>
      <c r="C31" s="468"/>
      <c r="D31" s="468"/>
      <c r="E31" s="468"/>
      <c r="F31" s="468"/>
      <c r="G31" s="217">
        <v>21</v>
      </c>
      <c r="H31" s="209"/>
      <c r="I31" s="214"/>
      <c r="J31" s="214"/>
    </row>
    <row r="32" spans="1:10" s="2" customFormat="1" ht="13.5" customHeight="1">
      <c r="A32" s="468" t="s">
        <v>1517</v>
      </c>
      <c r="B32" s="468"/>
      <c r="C32" s="468"/>
      <c r="D32" s="468"/>
      <c r="E32" s="468"/>
      <c r="F32" s="468"/>
      <c r="G32" s="217">
        <v>22</v>
      </c>
      <c r="H32" s="209"/>
      <c r="I32" s="214"/>
      <c r="J32" s="214"/>
    </row>
    <row r="33" spans="1:10" s="2" customFormat="1" ht="13.5" customHeight="1">
      <c r="A33" s="468" t="s">
        <v>1505</v>
      </c>
      <c r="B33" s="468"/>
      <c r="C33" s="468"/>
      <c r="D33" s="468"/>
      <c r="E33" s="468"/>
      <c r="F33" s="468"/>
      <c r="G33" s="217">
        <v>23</v>
      </c>
      <c r="H33" s="209"/>
      <c r="I33" s="214"/>
      <c r="J33" s="214"/>
    </row>
    <row r="34" spans="1:10" s="2" customFormat="1" ht="24.75" customHeight="1">
      <c r="A34" s="467" t="s">
        <v>81</v>
      </c>
      <c r="B34" s="467"/>
      <c r="C34" s="467"/>
      <c r="D34" s="467"/>
      <c r="E34" s="467"/>
      <c r="F34" s="467"/>
      <c r="G34" s="217">
        <v>24</v>
      </c>
      <c r="H34" s="209"/>
      <c r="I34" s="228">
        <f>I9+I19+I29</f>
        <v>0</v>
      </c>
      <c r="J34" s="228">
        <f>J9+J19+J29</f>
        <v>0</v>
      </c>
    </row>
    <row r="35" spans="1:10" s="2" customFormat="1" ht="13.5" customHeight="1">
      <c r="A35" s="468" t="s">
        <v>1506</v>
      </c>
      <c r="B35" s="468"/>
      <c r="C35" s="468"/>
      <c r="D35" s="468"/>
      <c r="E35" s="468"/>
      <c r="F35" s="468"/>
      <c r="G35" s="217">
        <v>25</v>
      </c>
      <c r="H35" s="209"/>
      <c r="I35" s="214"/>
      <c r="J35" s="214"/>
    </row>
    <row r="36" spans="1:10" s="2" customFormat="1" ht="13.5" customHeight="1">
      <c r="A36" s="481" t="s">
        <v>2080</v>
      </c>
      <c r="B36" s="481"/>
      <c r="C36" s="481"/>
      <c r="D36" s="481"/>
      <c r="E36" s="481"/>
      <c r="F36" s="481"/>
      <c r="G36" s="219">
        <v>26</v>
      </c>
      <c r="H36" s="210"/>
      <c r="I36" s="229">
        <f>I34+I35</f>
        <v>0</v>
      </c>
      <c r="J36" s="229">
        <f>J34+J35</f>
        <v>0</v>
      </c>
    </row>
    <row r="37" spans="1:10" s="2" customFormat="1" ht="15" customHeight="1">
      <c r="A37" s="461" t="s">
        <v>1513</v>
      </c>
      <c r="B37" s="462"/>
      <c r="C37" s="462"/>
      <c r="D37" s="462"/>
      <c r="E37" s="462"/>
      <c r="F37" s="462"/>
      <c r="G37" s="462"/>
      <c r="H37" s="462"/>
      <c r="I37" s="462"/>
      <c r="J37" s="462"/>
    </row>
    <row r="38" spans="1:10" s="2" customFormat="1" ht="13.5" customHeight="1">
      <c r="A38" s="467" t="s">
        <v>2079</v>
      </c>
      <c r="B38" s="468"/>
      <c r="C38" s="468"/>
      <c r="D38" s="468"/>
      <c r="E38" s="468"/>
      <c r="F38" s="468"/>
      <c r="G38" s="217">
        <v>27</v>
      </c>
      <c r="H38" s="209"/>
      <c r="I38" s="228">
        <f>SUM(I39:I43)</f>
        <v>0</v>
      </c>
      <c r="J38" s="228">
        <f>SUM(J39:J43)</f>
        <v>0</v>
      </c>
    </row>
    <row r="39" spans="1:10" s="2" customFormat="1" ht="13.5" customHeight="1">
      <c r="A39" s="468" t="s">
        <v>80</v>
      </c>
      <c r="B39" s="468"/>
      <c r="C39" s="468"/>
      <c r="D39" s="468"/>
      <c r="E39" s="468"/>
      <c r="F39" s="468"/>
      <c r="G39" s="217">
        <v>28</v>
      </c>
      <c r="H39" s="209"/>
      <c r="I39" s="214"/>
      <c r="J39" s="214"/>
    </row>
    <row r="40" spans="1:10" s="2" customFormat="1" ht="24.75" customHeight="1">
      <c r="A40" s="468" t="s">
        <v>85</v>
      </c>
      <c r="B40" s="468"/>
      <c r="C40" s="468"/>
      <c r="D40" s="468"/>
      <c r="E40" s="468"/>
      <c r="F40" s="468"/>
      <c r="G40" s="217">
        <v>29</v>
      </c>
      <c r="H40" s="209"/>
      <c r="I40" s="214"/>
      <c r="J40" s="214"/>
    </row>
    <row r="41" spans="1:10" s="2" customFormat="1" ht="24.75" customHeight="1">
      <c r="A41" s="468" t="s">
        <v>84</v>
      </c>
      <c r="B41" s="468"/>
      <c r="C41" s="468"/>
      <c r="D41" s="468"/>
      <c r="E41" s="468"/>
      <c r="F41" s="468"/>
      <c r="G41" s="217">
        <v>30</v>
      </c>
      <c r="H41" s="209"/>
      <c r="I41" s="214"/>
      <c r="J41" s="214"/>
    </row>
    <row r="42" spans="1:10" s="2" customFormat="1" ht="13.5" customHeight="1">
      <c r="A42" s="468" t="s">
        <v>1507</v>
      </c>
      <c r="B42" s="468"/>
      <c r="C42" s="468"/>
      <c r="D42" s="468"/>
      <c r="E42" s="468"/>
      <c r="F42" s="468"/>
      <c r="G42" s="217">
        <v>31</v>
      </c>
      <c r="H42" s="209"/>
      <c r="I42" s="214"/>
      <c r="J42" s="214"/>
    </row>
    <row r="43" spans="1:10" s="2" customFormat="1" ht="13.5" customHeight="1">
      <c r="A43" s="470" t="s">
        <v>711</v>
      </c>
      <c r="B43" s="470"/>
      <c r="C43" s="470"/>
      <c r="D43" s="470"/>
      <c r="E43" s="470"/>
      <c r="F43" s="470"/>
      <c r="G43" s="219">
        <v>32</v>
      </c>
      <c r="H43" s="210"/>
      <c r="I43" s="249"/>
      <c r="J43" s="249"/>
    </row>
    <row r="44" spans="1:10" s="2" customFormat="1" ht="15" customHeight="1">
      <c r="A44" s="461" t="s">
        <v>1514</v>
      </c>
      <c r="B44" s="462"/>
      <c r="C44" s="462"/>
      <c r="D44" s="462"/>
      <c r="E44" s="462"/>
      <c r="F44" s="462"/>
      <c r="G44" s="462"/>
      <c r="H44" s="462"/>
      <c r="I44" s="462"/>
      <c r="J44" s="462"/>
    </row>
    <row r="45" spans="1:10" s="2" customFormat="1" ht="13.5" customHeight="1">
      <c r="A45" s="467" t="s">
        <v>2078</v>
      </c>
      <c r="B45" s="468"/>
      <c r="C45" s="468"/>
      <c r="D45" s="468"/>
      <c r="E45" s="468"/>
      <c r="F45" s="468"/>
      <c r="G45" s="217">
        <v>33</v>
      </c>
      <c r="H45" s="209"/>
      <c r="I45" s="228">
        <f>SUM(I46:I51)</f>
        <v>0</v>
      </c>
      <c r="J45" s="228">
        <f>SUM(J46:J51)</f>
        <v>0</v>
      </c>
    </row>
    <row r="46" spans="1:10" s="2" customFormat="1" ht="13.5" customHeight="1">
      <c r="A46" s="468" t="s">
        <v>713</v>
      </c>
      <c r="B46" s="468"/>
      <c r="C46" s="468"/>
      <c r="D46" s="468"/>
      <c r="E46" s="468"/>
      <c r="F46" s="468"/>
      <c r="G46" s="217">
        <v>34</v>
      </c>
      <c r="H46" s="209"/>
      <c r="I46" s="214"/>
      <c r="J46" s="214"/>
    </row>
    <row r="47" spans="1:10" s="2" customFormat="1" ht="13.5" customHeight="1">
      <c r="A47" s="468" t="s">
        <v>714</v>
      </c>
      <c r="B47" s="468"/>
      <c r="C47" s="468"/>
      <c r="D47" s="468"/>
      <c r="E47" s="468"/>
      <c r="F47" s="468"/>
      <c r="G47" s="217">
        <v>35</v>
      </c>
      <c r="H47" s="209"/>
      <c r="I47" s="214"/>
      <c r="J47" s="214"/>
    </row>
    <row r="48" spans="1:10" s="2" customFormat="1" ht="13.5" customHeight="1">
      <c r="A48" s="469" t="s">
        <v>2137</v>
      </c>
      <c r="B48" s="469"/>
      <c r="C48" s="469"/>
      <c r="D48" s="469"/>
      <c r="E48" s="469"/>
      <c r="F48" s="469"/>
      <c r="G48" s="217">
        <v>36</v>
      </c>
      <c r="H48" s="209"/>
      <c r="I48" s="214"/>
      <c r="J48" s="214"/>
    </row>
    <row r="49" spans="1:10" s="2" customFormat="1" ht="13.5" customHeight="1">
      <c r="A49" s="469" t="s">
        <v>2138</v>
      </c>
      <c r="B49" s="469"/>
      <c r="C49" s="469"/>
      <c r="D49" s="469"/>
      <c r="E49" s="469"/>
      <c r="F49" s="469"/>
      <c r="G49" s="217">
        <v>37</v>
      </c>
      <c r="H49" s="209"/>
      <c r="I49" s="214"/>
      <c r="J49" s="214"/>
    </row>
    <row r="50" spans="1:10" s="2" customFormat="1" ht="13.5" customHeight="1">
      <c r="A50" s="468" t="s">
        <v>1511</v>
      </c>
      <c r="B50" s="468"/>
      <c r="C50" s="468"/>
      <c r="D50" s="468"/>
      <c r="E50" s="468"/>
      <c r="F50" s="468"/>
      <c r="G50" s="217">
        <v>38</v>
      </c>
      <c r="H50" s="209"/>
      <c r="I50" s="214"/>
      <c r="J50" s="214"/>
    </row>
    <row r="51" spans="1:10" s="2" customFormat="1" ht="13.5" customHeight="1">
      <c r="A51" s="468" t="s">
        <v>715</v>
      </c>
      <c r="B51" s="468"/>
      <c r="C51" s="468"/>
      <c r="D51" s="468"/>
      <c r="E51" s="468"/>
      <c r="F51" s="468"/>
      <c r="G51" s="217">
        <v>39</v>
      </c>
      <c r="H51" s="209"/>
      <c r="I51" s="214"/>
      <c r="J51" s="214"/>
    </row>
    <row r="52" spans="1:10" s="2" customFormat="1" ht="13.5" customHeight="1">
      <c r="A52" s="467" t="s">
        <v>2077</v>
      </c>
      <c r="B52" s="468"/>
      <c r="C52" s="468"/>
      <c r="D52" s="468"/>
      <c r="E52" s="468"/>
      <c r="F52" s="468"/>
      <c r="G52" s="217">
        <v>40</v>
      </c>
      <c r="H52" s="209"/>
      <c r="I52" s="228">
        <f>I36+I38+I45</f>
        <v>0</v>
      </c>
      <c r="J52" s="228">
        <f>J36+J38+J45</f>
        <v>0</v>
      </c>
    </row>
    <row r="53" spans="1:10" s="2" customFormat="1" ht="13.5" customHeight="1">
      <c r="A53" s="467" t="s">
        <v>1515</v>
      </c>
      <c r="B53" s="467"/>
      <c r="C53" s="467"/>
      <c r="D53" s="467"/>
      <c r="E53" s="467"/>
      <c r="F53" s="467"/>
      <c r="G53" s="217">
        <v>41</v>
      </c>
      <c r="H53" s="209"/>
      <c r="I53" s="214"/>
      <c r="J53" s="214"/>
    </row>
    <row r="54" spans="1:10" s="2" customFormat="1" ht="13.5" customHeight="1">
      <c r="A54" s="467" t="s">
        <v>2076</v>
      </c>
      <c r="B54" s="468"/>
      <c r="C54" s="468"/>
      <c r="D54" s="468"/>
      <c r="E54" s="468"/>
      <c r="F54" s="468"/>
      <c r="G54" s="217">
        <v>42</v>
      </c>
      <c r="H54" s="209"/>
      <c r="I54" s="228">
        <f>I52+I53</f>
        <v>0</v>
      </c>
      <c r="J54" s="228">
        <f>J52+J53</f>
        <v>0</v>
      </c>
    </row>
    <row r="55" spans="1:10" s="2" customFormat="1" ht="13.5" customHeight="1">
      <c r="A55" s="467" t="s">
        <v>1516</v>
      </c>
      <c r="B55" s="468"/>
      <c r="C55" s="468"/>
      <c r="D55" s="468"/>
      <c r="E55" s="468"/>
      <c r="F55" s="468"/>
      <c r="G55" s="217">
        <v>43</v>
      </c>
      <c r="H55" s="209"/>
      <c r="I55" s="214"/>
      <c r="J55" s="214"/>
    </row>
    <row r="56" spans="1:10" s="2" customFormat="1" ht="13.5" customHeight="1">
      <c r="A56" s="464" t="s">
        <v>2075</v>
      </c>
      <c r="B56" s="466"/>
      <c r="C56" s="466"/>
      <c r="D56" s="466"/>
      <c r="E56" s="466"/>
      <c r="F56" s="466"/>
      <c r="G56" s="219">
        <v>44</v>
      </c>
      <c r="H56" s="210"/>
      <c r="I56" s="229">
        <f>IF(I54+I55&gt;=0,I54+I55,0)</f>
        <v>0</v>
      </c>
      <c r="J56" s="229">
        <f>IF(J54+J55&gt;=0,J54+J55,0)</f>
        <v>0</v>
      </c>
    </row>
    <row r="57" ht="4.5" customHeight="1"/>
    <row r="58" ht="12" hidden="1"/>
    <row r="59" ht="12" hidden="1"/>
    <row r="60" ht="12" hidden="1"/>
    <row r="61" ht="12" hidden="1"/>
    <row r="62" ht="12" hidden="1"/>
    <row r="63" ht="12" hidden="1"/>
    <row r="64" ht="12" hidden="1"/>
  </sheetData>
  <sheetProtection password="C79A" sheet="1" objects="1" scenarios="1"/>
  <mergeCells count="55">
    <mergeCell ref="A51:F51"/>
    <mergeCell ref="A52:F52"/>
    <mergeCell ref="A37:J37"/>
    <mergeCell ref="A50:F50"/>
    <mergeCell ref="A48:F48"/>
    <mergeCell ref="A49:F49"/>
    <mergeCell ref="A46:F46"/>
    <mergeCell ref="A47:F47"/>
    <mergeCell ref="A56:F56"/>
    <mergeCell ref="A43:F43"/>
    <mergeCell ref="A45:F45"/>
    <mergeCell ref="A36:F36"/>
    <mergeCell ref="A38:F38"/>
    <mergeCell ref="A53:F53"/>
    <mergeCell ref="A42:F42"/>
    <mergeCell ref="A40:F40"/>
    <mergeCell ref="A41:F41"/>
    <mergeCell ref="A39:F39"/>
    <mergeCell ref="A30:F30"/>
    <mergeCell ref="A26:F26"/>
    <mergeCell ref="A27:F27"/>
    <mergeCell ref="A35:F35"/>
    <mergeCell ref="A33:F33"/>
    <mergeCell ref="A34:F34"/>
    <mergeCell ref="A31:F31"/>
    <mergeCell ref="A32:F32"/>
    <mergeCell ref="A17:F17"/>
    <mergeCell ref="A19:F19"/>
    <mergeCell ref="A15:F15"/>
    <mergeCell ref="A29:F29"/>
    <mergeCell ref="A22:F22"/>
    <mergeCell ref="A16:F16"/>
    <mergeCell ref="A23:F23"/>
    <mergeCell ref="A24:F24"/>
    <mergeCell ref="A20:F20"/>
    <mergeCell ref="A21:F21"/>
    <mergeCell ref="A14:F14"/>
    <mergeCell ref="A12:F12"/>
    <mergeCell ref="A13:F13"/>
    <mergeCell ref="A10:F10"/>
    <mergeCell ref="A11:F11"/>
    <mergeCell ref="A6:F6"/>
    <mergeCell ref="A7:F7"/>
    <mergeCell ref="A8:J8"/>
    <mergeCell ref="A9:F9"/>
    <mergeCell ref="A2:I2"/>
    <mergeCell ref="J2:J3"/>
    <mergeCell ref="A3:I3"/>
    <mergeCell ref="A5:J5"/>
    <mergeCell ref="A55:F55"/>
    <mergeCell ref="A18:J18"/>
    <mergeCell ref="A28:J28"/>
    <mergeCell ref="A44:J44"/>
    <mergeCell ref="A54:F54"/>
    <mergeCell ref="A25:F25"/>
  </mergeCells>
  <conditionalFormatting sqref="I29:J36 I19:J27 I9:J17 I38:J43 I45:J56">
    <cfRule type="cellIs" priority="1" dxfId="2" operator="notEqual" stopIfTrue="1">
      <formula>ROUND(I9,0)</formula>
    </cfRule>
  </conditionalFormatting>
  <dataValidations count="2">
    <dataValidation type="whole" operator="greaterThanOrEqual" allowBlank="1" showInputMessage="1" showErrorMessage="1" errorTitle="Pogrešan unos" error="Mogu se unijeti samo cjelobrojne pozitivne vrijednosti." sqref="I37:J37 I28:J28 I18:J18 I44:J44">
      <formula1>0</formula1>
    </dataValidation>
    <dataValidation type="whole" operator="notEqual" allowBlank="1" showInputMessage="1" showErrorMessage="1" errorTitle="Nedopušten upis" error="Dopušten je upis samo cjelobrojnih vrijednosti." sqref="I9:J17 I19:J27 I29:J36 I38:J43 I45:J56">
      <formula1>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1" fitToWidth="1"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dimension ref="A1:T2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2" width="9.7109375" style="98" customWidth="1"/>
    <col min="3" max="3" width="10.28125" style="98" customWidth="1"/>
    <col min="4" max="5" width="5.7109375" style="98" customWidth="1"/>
    <col min="6" max="10" width="13.7109375" style="98" customWidth="1"/>
    <col min="11" max="11" width="14.28125" style="98" customWidth="1"/>
    <col min="12" max="13" width="13.7109375" style="98" customWidth="1"/>
    <col min="14" max="14" width="0.85546875" style="98" customWidth="1"/>
    <col min="15" max="17" width="5.7109375" style="98" hidden="1" customWidth="1"/>
    <col min="18" max="16384" width="0" style="98" hidden="1" customWidth="1"/>
  </cols>
  <sheetData>
    <row r="1" spans="1:20" ht="24.75" customHeight="1" thickBot="1">
      <c r="A1" s="105" t="s">
        <v>2610</v>
      </c>
      <c r="B1" s="54" t="s">
        <v>2609</v>
      </c>
      <c r="C1" s="54" t="s">
        <v>2612</v>
      </c>
      <c r="D1" s="55"/>
      <c r="E1" s="244"/>
      <c r="F1" s="54" t="s">
        <v>2027</v>
      </c>
      <c r="G1" s="54" t="s">
        <v>1209</v>
      </c>
      <c r="H1" s="54" t="s">
        <v>2475</v>
      </c>
      <c r="I1" s="54" t="s">
        <v>621</v>
      </c>
      <c r="J1" s="54" t="s">
        <v>622</v>
      </c>
      <c r="K1" s="54" t="s">
        <v>1210</v>
      </c>
      <c r="L1" s="55" t="s">
        <v>2611</v>
      </c>
      <c r="M1" s="244"/>
      <c r="S1" s="98">
        <f>MAX(S2:S3)</f>
        <v>1</v>
      </c>
      <c r="T1" s="98" t="s">
        <v>1208</v>
      </c>
    </row>
    <row r="2" spans="1:20" s="3" customFormat="1" ht="19.5" customHeight="1">
      <c r="A2" s="493" t="s">
        <v>2272</v>
      </c>
      <c r="B2" s="493"/>
      <c r="C2" s="493"/>
      <c r="D2" s="494"/>
      <c r="E2" s="494"/>
      <c r="F2" s="495"/>
      <c r="G2" s="495"/>
      <c r="H2" s="495"/>
      <c r="I2" s="495"/>
      <c r="J2" s="99"/>
      <c r="K2" s="99"/>
      <c r="L2" s="204"/>
      <c r="M2" s="399" t="s">
        <v>61</v>
      </c>
      <c r="S2" s="3">
        <f>IF(OR(MAX(F9:L25)&lt;&gt;0,MIN(F9:L25)&lt;&gt;0),1,0)</f>
        <v>1</v>
      </c>
      <c r="T2" s="15" t="s">
        <v>2477</v>
      </c>
    </row>
    <row r="3" spans="1:20" s="3" customFormat="1" ht="19.5" customHeight="1" thickBot="1">
      <c r="A3" s="496" t="str">
        <f>"za razdoblje od "&amp;IF(RefStr!C4&lt;&gt;"",TEXT(RefStr!C4,"DD.MM.YYYY."),"__.__.____.")&amp;" do "&amp;IF(RefStr!F4&lt;&gt;"",TEXT(RefStr!F4,"DD.MM.YYYY."),"__.__.____.")</f>
        <v>za razdoblje od 01.01.2016. do 31.12.2016.</v>
      </c>
      <c r="B3" s="496"/>
      <c r="C3" s="496"/>
      <c r="D3" s="497"/>
      <c r="E3" s="497"/>
      <c r="F3" s="495"/>
      <c r="G3" s="495"/>
      <c r="H3" s="495"/>
      <c r="I3" s="495"/>
      <c r="J3" s="99"/>
      <c r="K3" s="99"/>
      <c r="L3" s="204"/>
      <c r="M3" s="488"/>
      <c r="T3" s="15"/>
    </row>
    <row r="4" spans="1:13" s="3" customFormat="1" ht="4.5" customHeight="1">
      <c r="A4" s="94"/>
      <c r="B4" s="95"/>
      <c r="C4" s="95"/>
      <c r="D4" s="96"/>
      <c r="E4" s="96"/>
      <c r="F4" s="100"/>
      <c r="L4" s="97"/>
      <c r="M4" s="97"/>
    </row>
    <row r="5" spans="1:20" s="3" customFormat="1" ht="19.5" customHeight="1">
      <c r="A5" s="489" t="str">
        <f>"Obveznik: "&amp;IF(RefStr!C27&lt;&gt;"",RefStr!C27,"________")&amp;";   "&amp;IF(RefStr!C29&lt;&gt;"",RefStr!C29,"_____________________________________________________________")&amp;";   "&amp;IF(RefStr!F31&lt;&gt;"",RefStr!F31,"_______________")</f>
        <v>Obveznik: 32247795989;   Croatia banka d.d.;   Zagreb</v>
      </c>
      <c r="B5" s="490"/>
      <c r="C5" s="490"/>
      <c r="D5" s="490"/>
      <c r="E5" s="490"/>
      <c r="F5" s="490"/>
      <c r="G5" s="490"/>
      <c r="H5" s="490"/>
      <c r="I5" s="490"/>
      <c r="J5" s="490"/>
      <c r="K5" s="490"/>
      <c r="L5" s="491"/>
      <c r="M5" s="492"/>
      <c r="T5" s="15"/>
    </row>
    <row r="6" spans="1:20" s="3" customFormat="1" ht="15" customHeight="1" thickBot="1">
      <c r="A6" s="477" t="s">
        <v>2727</v>
      </c>
      <c r="B6" s="498"/>
      <c r="C6" s="498"/>
      <c r="D6" s="478" t="s">
        <v>2728</v>
      </c>
      <c r="E6" s="411" t="s">
        <v>1446</v>
      </c>
      <c r="F6" s="478" t="s">
        <v>2726</v>
      </c>
      <c r="G6" s="478"/>
      <c r="H6" s="478"/>
      <c r="I6" s="478"/>
      <c r="J6" s="478"/>
      <c r="K6" s="478"/>
      <c r="L6" s="506" t="s">
        <v>2471</v>
      </c>
      <c r="M6" s="503" t="s">
        <v>18</v>
      </c>
      <c r="T6" s="15"/>
    </row>
    <row r="7" spans="1:13" s="3" customFormat="1" ht="72.75" thickBot="1">
      <c r="A7" s="499"/>
      <c r="B7" s="500"/>
      <c r="C7" s="500"/>
      <c r="D7" s="505"/>
      <c r="E7" s="505"/>
      <c r="F7" s="73" t="s">
        <v>15</v>
      </c>
      <c r="G7" s="73" t="s">
        <v>2476</v>
      </c>
      <c r="H7" s="73" t="s">
        <v>16</v>
      </c>
      <c r="I7" s="73" t="s">
        <v>17</v>
      </c>
      <c r="J7" s="73" t="s">
        <v>9</v>
      </c>
      <c r="K7" s="248" t="s">
        <v>79</v>
      </c>
      <c r="L7" s="507"/>
      <c r="M7" s="504"/>
    </row>
    <row r="8" spans="1:13" s="3" customFormat="1" ht="13.5" customHeight="1">
      <c r="A8" s="501">
        <v>1</v>
      </c>
      <c r="B8" s="502"/>
      <c r="C8" s="502"/>
      <c r="D8" s="190">
        <v>2</v>
      </c>
      <c r="E8" s="191">
        <v>3</v>
      </c>
      <c r="F8" s="189">
        <v>4</v>
      </c>
      <c r="G8" s="191">
        <v>5</v>
      </c>
      <c r="H8" s="189">
        <v>6</v>
      </c>
      <c r="I8" s="191">
        <v>7</v>
      </c>
      <c r="J8" s="189">
        <v>8</v>
      </c>
      <c r="K8" s="191">
        <v>9</v>
      </c>
      <c r="L8" s="189" t="s">
        <v>1367</v>
      </c>
      <c r="M8" s="211" t="s">
        <v>1368</v>
      </c>
    </row>
    <row r="9" spans="1:20" s="3" customFormat="1" ht="13.5" customHeight="1">
      <c r="A9" s="508" t="s">
        <v>3</v>
      </c>
      <c r="B9" s="509"/>
      <c r="C9" s="509"/>
      <c r="D9" s="245">
        <v>1</v>
      </c>
      <c r="E9" s="232"/>
      <c r="F9" s="233">
        <v>474600000</v>
      </c>
      <c r="G9" s="233">
        <v>0</v>
      </c>
      <c r="H9" s="233"/>
      <c r="I9" s="233">
        <v>-277040383</v>
      </c>
      <c r="J9" s="233">
        <v>-15133785</v>
      </c>
      <c r="K9" s="233">
        <v>-394802</v>
      </c>
      <c r="L9" s="233"/>
      <c r="M9" s="243">
        <f>SUM(F9:L9)</f>
        <v>182031030</v>
      </c>
      <c r="Q9" s="102"/>
      <c r="R9" s="102"/>
      <c r="S9" s="102"/>
      <c r="T9" s="102"/>
    </row>
    <row r="10" spans="1:20" s="3" customFormat="1" ht="24.75" customHeight="1">
      <c r="A10" s="484" t="s">
        <v>4</v>
      </c>
      <c r="B10" s="485"/>
      <c r="C10" s="485"/>
      <c r="D10" s="246">
        <v>2</v>
      </c>
      <c r="E10" s="234"/>
      <c r="F10" s="235"/>
      <c r="G10" s="235"/>
      <c r="H10" s="235"/>
      <c r="I10" s="235"/>
      <c r="J10" s="235"/>
      <c r="K10" s="235"/>
      <c r="L10" s="235"/>
      <c r="M10" s="237">
        <f>SUM(F10:L10)</f>
        <v>0</v>
      </c>
      <c r="Q10" s="101"/>
      <c r="R10" s="101"/>
      <c r="S10" s="101"/>
      <c r="T10" s="102"/>
    </row>
    <row r="11" spans="1:20" s="3" customFormat="1" ht="24.75" customHeight="1">
      <c r="A11" s="486" t="s">
        <v>77</v>
      </c>
      <c r="B11" s="487"/>
      <c r="C11" s="487"/>
      <c r="D11" s="246">
        <v>3</v>
      </c>
      <c r="E11" s="234"/>
      <c r="F11" s="237">
        <f>SUM(F9:F10)</f>
        <v>474600000</v>
      </c>
      <c r="G11" s="237">
        <f aca="true" t="shared" si="0" ref="G11:M11">SUM(G9:G10)</f>
        <v>0</v>
      </c>
      <c r="H11" s="237">
        <f t="shared" si="0"/>
        <v>0</v>
      </c>
      <c r="I11" s="237">
        <f t="shared" si="0"/>
        <v>-277040383</v>
      </c>
      <c r="J11" s="237">
        <f t="shared" si="0"/>
        <v>-15133785</v>
      </c>
      <c r="K11" s="237">
        <f t="shared" si="0"/>
        <v>-394802</v>
      </c>
      <c r="L11" s="237">
        <f t="shared" si="0"/>
        <v>0</v>
      </c>
      <c r="M11" s="237">
        <f t="shared" si="0"/>
        <v>182031030</v>
      </c>
      <c r="Q11" s="103"/>
      <c r="R11" s="103"/>
      <c r="S11" s="103"/>
      <c r="T11" s="102"/>
    </row>
    <row r="12" spans="1:20" s="3" customFormat="1" ht="24.75" customHeight="1">
      <c r="A12" s="484" t="s">
        <v>5</v>
      </c>
      <c r="B12" s="485"/>
      <c r="C12" s="485"/>
      <c r="D12" s="246">
        <v>4</v>
      </c>
      <c r="E12" s="234"/>
      <c r="F12" s="235"/>
      <c r="G12" s="235"/>
      <c r="H12" s="235"/>
      <c r="I12" s="235"/>
      <c r="J12" s="235"/>
      <c r="K12" s="235">
        <v>275053</v>
      </c>
      <c r="L12" s="235"/>
      <c r="M12" s="237">
        <f>SUM(F12:L12)</f>
        <v>275053</v>
      </c>
      <c r="Q12" s="103"/>
      <c r="R12" s="103"/>
      <c r="S12" s="103"/>
      <c r="T12" s="102"/>
    </row>
    <row r="13" spans="1:20" s="3" customFormat="1" ht="24.75" customHeight="1">
      <c r="A13" s="484" t="s">
        <v>6</v>
      </c>
      <c r="B13" s="485"/>
      <c r="C13" s="485"/>
      <c r="D13" s="246">
        <v>5</v>
      </c>
      <c r="E13" s="234"/>
      <c r="F13" s="235"/>
      <c r="G13" s="235"/>
      <c r="H13" s="235"/>
      <c r="I13" s="235"/>
      <c r="J13" s="235"/>
      <c r="K13" s="235">
        <v>7012423</v>
      </c>
      <c r="L13" s="235"/>
      <c r="M13" s="237">
        <f>SUM(F13:L13)</f>
        <v>7012423</v>
      </c>
      <c r="Q13" s="103"/>
      <c r="R13" s="103"/>
      <c r="S13" s="103"/>
      <c r="T13" s="102"/>
    </row>
    <row r="14" spans="1:20" s="3" customFormat="1" ht="24.75" customHeight="1">
      <c r="A14" s="484" t="s">
        <v>7</v>
      </c>
      <c r="B14" s="485"/>
      <c r="C14" s="485"/>
      <c r="D14" s="246">
        <v>6</v>
      </c>
      <c r="E14" s="234"/>
      <c r="F14" s="235"/>
      <c r="G14" s="235"/>
      <c r="H14" s="235"/>
      <c r="I14" s="235"/>
      <c r="J14" s="235"/>
      <c r="K14" s="235">
        <v>-1321616</v>
      </c>
      <c r="L14" s="235"/>
      <c r="M14" s="237">
        <f>SUM(F14:L14)</f>
        <v>-1321616</v>
      </c>
      <c r="Q14" s="104"/>
      <c r="R14" s="104"/>
      <c r="S14" s="104"/>
      <c r="T14" s="102"/>
    </row>
    <row r="15" spans="1:20" s="3" customFormat="1" ht="24.75" customHeight="1">
      <c r="A15" s="484" t="s">
        <v>8</v>
      </c>
      <c r="B15" s="485"/>
      <c r="C15" s="485"/>
      <c r="D15" s="246">
        <v>7</v>
      </c>
      <c r="E15" s="234"/>
      <c r="F15" s="235"/>
      <c r="G15" s="235"/>
      <c r="H15" s="235"/>
      <c r="I15" s="235"/>
      <c r="J15" s="235"/>
      <c r="K15" s="235"/>
      <c r="L15" s="235"/>
      <c r="M15" s="237">
        <f>SUM(F15:L15)</f>
        <v>0</v>
      </c>
      <c r="Q15" s="104"/>
      <c r="R15" s="104"/>
      <c r="S15" s="104"/>
      <c r="T15" s="102"/>
    </row>
    <row r="16" spans="1:20" s="3" customFormat="1" ht="24.75" customHeight="1">
      <c r="A16" s="486" t="s">
        <v>32</v>
      </c>
      <c r="B16" s="487"/>
      <c r="C16" s="487"/>
      <c r="D16" s="246">
        <v>8</v>
      </c>
      <c r="E16" s="234"/>
      <c r="F16" s="237">
        <f>SUM(F12:F15)</f>
        <v>0</v>
      </c>
      <c r="G16" s="237">
        <f aca="true" t="shared" si="1" ref="G16:L16">SUM(G12:G15)</f>
        <v>0</v>
      </c>
      <c r="H16" s="237">
        <f t="shared" si="1"/>
        <v>0</v>
      </c>
      <c r="I16" s="237">
        <f t="shared" si="1"/>
        <v>0</v>
      </c>
      <c r="J16" s="237">
        <f t="shared" si="1"/>
        <v>0</v>
      </c>
      <c r="K16" s="237">
        <f t="shared" si="1"/>
        <v>5965860</v>
      </c>
      <c r="L16" s="237">
        <f t="shared" si="1"/>
        <v>0</v>
      </c>
      <c r="M16" s="237">
        <f>SUM(M12:M15)</f>
        <v>5965860</v>
      </c>
      <c r="Q16" s="104"/>
      <c r="R16" s="104"/>
      <c r="S16" s="104"/>
      <c r="T16" s="102"/>
    </row>
    <row r="17" spans="1:20" s="3" customFormat="1" ht="13.5" customHeight="1">
      <c r="A17" s="484" t="s">
        <v>9</v>
      </c>
      <c r="B17" s="485"/>
      <c r="C17" s="485"/>
      <c r="D17" s="246">
        <v>9</v>
      </c>
      <c r="E17" s="234"/>
      <c r="F17" s="235"/>
      <c r="G17" s="235"/>
      <c r="H17" s="235"/>
      <c r="I17" s="235"/>
      <c r="J17" s="235">
        <v>1638111</v>
      </c>
      <c r="K17" s="235"/>
      <c r="L17" s="235"/>
      <c r="M17" s="237">
        <f>SUM(F17:L17)</f>
        <v>1638111</v>
      </c>
      <c r="Q17" s="103"/>
      <c r="R17" s="103"/>
      <c r="S17" s="103"/>
      <c r="T17" s="102"/>
    </row>
    <row r="18" spans="1:20" s="3" customFormat="1" ht="24.75" customHeight="1">
      <c r="A18" s="486" t="s">
        <v>33</v>
      </c>
      <c r="B18" s="487"/>
      <c r="C18" s="487"/>
      <c r="D18" s="246">
        <v>10</v>
      </c>
      <c r="E18" s="234"/>
      <c r="F18" s="237">
        <f>SUM(F16:F17)</f>
        <v>0</v>
      </c>
      <c r="G18" s="237">
        <f aca="true" t="shared" si="2" ref="G18:M18">SUM(G16:G17)</f>
        <v>0</v>
      </c>
      <c r="H18" s="237">
        <f t="shared" si="2"/>
        <v>0</v>
      </c>
      <c r="I18" s="237">
        <f t="shared" si="2"/>
        <v>0</v>
      </c>
      <c r="J18" s="237">
        <f t="shared" si="2"/>
        <v>1638111</v>
      </c>
      <c r="K18" s="237">
        <f t="shared" si="2"/>
        <v>5965860</v>
      </c>
      <c r="L18" s="237">
        <f t="shared" si="2"/>
        <v>0</v>
      </c>
      <c r="M18" s="237">
        <f t="shared" si="2"/>
        <v>7603971</v>
      </c>
      <c r="Q18" s="104"/>
      <c r="R18" s="104"/>
      <c r="S18" s="104"/>
      <c r="T18" s="102"/>
    </row>
    <row r="19" spans="1:20" s="3" customFormat="1" ht="13.5" customHeight="1">
      <c r="A19" s="484" t="s">
        <v>10</v>
      </c>
      <c r="B19" s="485"/>
      <c r="C19" s="485"/>
      <c r="D19" s="246">
        <v>11</v>
      </c>
      <c r="E19" s="234"/>
      <c r="F19" s="235"/>
      <c r="G19" s="235"/>
      <c r="H19" s="235"/>
      <c r="I19" s="235"/>
      <c r="J19" s="235"/>
      <c r="K19" s="235"/>
      <c r="L19" s="235"/>
      <c r="M19" s="237">
        <f>SUM(F19:L19)</f>
        <v>0</v>
      </c>
      <c r="Q19" s="104"/>
      <c r="R19" s="104"/>
      <c r="S19" s="104"/>
      <c r="T19" s="102"/>
    </row>
    <row r="20" spans="1:20" s="3" customFormat="1" ht="13.5" customHeight="1">
      <c r="A20" s="484" t="s">
        <v>11</v>
      </c>
      <c r="B20" s="485"/>
      <c r="C20" s="485"/>
      <c r="D20" s="246">
        <v>12</v>
      </c>
      <c r="E20" s="234"/>
      <c r="F20" s="235"/>
      <c r="G20" s="235"/>
      <c r="H20" s="235"/>
      <c r="I20" s="235"/>
      <c r="J20" s="235"/>
      <c r="K20" s="235"/>
      <c r="L20" s="235"/>
      <c r="M20" s="237">
        <f>SUM(F20:L20)</f>
        <v>0</v>
      </c>
      <c r="Q20" s="104"/>
      <c r="R20" s="104"/>
      <c r="S20" s="104"/>
      <c r="T20" s="102"/>
    </row>
    <row r="21" spans="1:18" s="3" customFormat="1" ht="13.5" customHeight="1">
      <c r="A21" s="484" t="s">
        <v>12</v>
      </c>
      <c r="B21" s="485"/>
      <c r="C21" s="485"/>
      <c r="D21" s="246">
        <v>13</v>
      </c>
      <c r="E21" s="234"/>
      <c r="F21" s="235"/>
      <c r="G21" s="235"/>
      <c r="H21" s="235"/>
      <c r="I21" s="235">
        <v>-15133785</v>
      </c>
      <c r="J21" s="235">
        <v>15133785</v>
      </c>
      <c r="K21" s="235"/>
      <c r="L21" s="235"/>
      <c r="M21" s="237">
        <f>SUM(F21:L21)</f>
        <v>0</v>
      </c>
      <c r="Q21" s="102"/>
      <c r="R21" s="98"/>
    </row>
    <row r="22" spans="1:18" s="3" customFormat="1" ht="13.5" customHeight="1">
      <c r="A22" s="484" t="s">
        <v>13</v>
      </c>
      <c r="B22" s="485"/>
      <c r="C22" s="485"/>
      <c r="D22" s="246">
        <v>14</v>
      </c>
      <c r="E22" s="234"/>
      <c r="F22" s="235"/>
      <c r="G22" s="235"/>
      <c r="H22" s="235"/>
      <c r="I22" s="235"/>
      <c r="J22" s="235"/>
      <c r="K22" s="235"/>
      <c r="L22" s="235"/>
      <c r="M22" s="237">
        <f>SUM(F22:L22)</f>
        <v>0</v>
      </c>
      <c r="Q22" s="102"/>
      <c r="R22" s="98"/>
    </row>
    <row r="23" spans="1:18" s="3" customFormat="1" ht="13.5" customHeight="1">
      <c r="A23" s="484" t="s">
        <v>14</v>
      </c>
      <c r="B23" s="485"/>
      <c r="C23" s="485"/>
      <c r="D23" s="246">
        <v>15</v>
      </c>
      <c r="E23" s="234"/>
      <c r="F23" s="235"/>
      <c r="G23" s="235"/>
      <c r="H23" s="235"/>
      <c r="I23" s="235"/>
      <c r="J23" s="235"/>
      <c r="K23" s="235"/>
      <c r="L23" s="235"/>
      <c r="M23" s="237">
        <f>SUM(F23:L23)</f>
        <v>0</v>
      </c>
      <c r="Q23" s="102"/>
      <c r="R23" s="98"/>
    </row>
    <row r="24" spans="1:18" s="3" customFormat="1" ht="13.5" customHeight="1">
      <c r="A24" s="486" t="s">
        <v>34</v>
      </c>
      <c r="B24" s="487"/>
      <c r="C24" s="487"/>
      <c r="D24" s="246">
        <v>16</v>
      </c>
      <c r="E24" s="234"/>
      <c r="F24" s="237">
        <f>SUM(F22:F23)</f>
        <v>0</v>
      </c>
      <c r="G24" s="237">
        <f aca="true" t="shared" si="3" ref="G24:M24">SUM(G22:G23)</f>
        <v>0</v>
      </c>
      <c r="H24" s="237">
        <f t="shared" si="3"/>
        <v>0</v>
      </c>
      <c r="I24" s="237">
        <f t="shared" si="3"/>
        <v>0</v>
      </c>
      <c r="J24" s="237">
        <f t="shared" si="3"/>
        <v>0</v>
      </c>
      <c r="K24" s="237">
        <f t="shared" si="3"/>
        <v>0</v>
      </c>
      <c r="L24" s="237">
        <f t="shared" si="3"/>
        <v>0</v>
      </c>
      <c r="M24" s="237">
        <f t="shared" si="3"/>
        <v>0</v>
      </c>
      <c r="Q24" s="102"/>
      <c r="R24" s="98"/>
    </row>
    <row r="25" spans="1:18" s="3" customFormat="1" ht="24.75" customHeight="1">
      <c r="A25" s="482" t="s">
        <v>78</v>
      </c>
      <c r="B25" s="483"/>
      <c r="C25" s="483"/>
      <c r="D25" s="247">
        <v>17</v>
      </c>
      <c r="E25" s="236"/>
      <c r="F25" s="238">
        <f>F11+F18+F19+F20+F21+F24</f>
        <v>474600000</v>
      </c>
      <c r="G25" s="238">
        <f aca="true" t="shared" si="4" ref="G25:M25">G11+G18+G19+G20+G21+G24</f>
        <v>0</v>
      </c>
      <c r="H25" s="238">
        <f t="shared" si="4"/>
        <v>0</v>
      </c>
      <c r="I25" s="238">
        <f t="shared" si="4"/>
        <v>-292174168</v>
      </c>
      <c r="J25" s="238">
        <f t="shared" si="4"/>
        <v>1638111</v>
      </c>
      <c r="K25" s="238">
        <f t="shared" si="4"/>
        <v>5571058</v>
      </c>
      <c r="L25" s="238">
        <f t="shared" si="4"/>
        <v>0</v>
      </c>
      <c r="M25" s="238">
        <f t="shared" si="4"/>
        <v>189635001</v>
      </c>
      <c r="Q25" s="102"/>
      <c r="R25" s="98"/>
    </row>
    <row r="26" ht="4.5" customHeight="1"/>
  </sheetData>
  <sheetProtection password="C79A" sheet="1" objects="1" scenarios="1"/>
  <mergeCells count="28">
    <mergeCell ref="F6:K6"/>
    <mergeCell ref="A13:C13"/>
    <mergeCell ref="E6:E7"/>
    <mergeCell ref="L6:L7"/>
    <mergeCell ref="D6:D7"/>
    <mergeCell ref="A9:C9"/>
    <mergeCell ref="A10:C10"/>
    <mergeCell ref="A11:C11"/>
    <mergeCell ref="A12:C12"/>
    <mergeCell ref="A14:C14"/>
    <mergeCell ref="A15:C15"/>
    <mergeCell ref="A16:C16"/>
    <mergeCell ref="M2:M3"/>
    <mergeCell ref="A5:M5"/>
    <mergeCell ref="A2:I2"/>
    <mergeCell ref="A3:I3"/>
    <mergeCell ref="A6:C7"/>
    <mergeCell ref="A8:C8"/>
    <mergeCell ref="M6:M7"/>
    <mergeCell ref="A25:C25"/>
    <mergeCell ref="A21:C21"/>
    <mergeCell ref="A24:C24"/>
    <mergeCell ref="A17:C17"/>
    <mergeCell ref="A22:C22"/>
    <mergeCell ref="A23:C23"/>
    <mergeCell ref="A18:C18"/>
    <mergeCell ref="A19:C19"/>
    <mergeCell ref="A20:C20"/>
  </mergeCells>
  <conditionalFormatting sqref="F9:M25">
    <cfRule type="cellIs" priority="1" dxfId="2" operator="notEqual" stopIfTrue="1">
      <formula>ROUND(F9,0)</formula>
    </cfRule>
  </conditionalFormatting>
  <dataValidations count="1">
    <dataValidation type="whole" operator="notEqual" allowBlank="1" showInputMessage="1" showErrorMessage="1" errorTitle="Neispravan unos" error="Unose se samo cjelobrojne (pozitivne ili negativne) vrijednosti" sqref="F9:M25">
      <formula1>9999999999</formula1>
    </dataValidation>
  </dataValidations>
  <hyperlinks>
    <hyperlink ref="C1" location="RefStr!A1" tooltip="Unos općih podataka na Referentnu stranicu" display="RefStr"/>
    <hyperlink ref="B1" location="Naslovna!A1" tooltip="Naslovna strana, unos općih podataka" display="Naslovna"/>
    <hyperlink ref="H1" location="PodDop!A1" tooltip="Unos podataka u Dodatne podatke" display="PodDop"/>
    <hyperlink ref="I1" location="NT_I!A1" tooltip="Unos podataka u Novčani tijek po indirektnoj metodi" display="NT_I"/>
    <hyperlink ref="J1" location="NT_D!A1" tooltip="Unos podataka u Novčani tijek po direktnoj metodi" display="NT_D"/>
    <hyperlink ref="L1" location="Kont!A1" tooltip="Provjera pogrešaka i upozorenja na radnom listu Kontrole" display="Kont"/>
    <hyperlink ref="K1" location="PK!A1" tooltip="Unos podataka u obrazac Promjene kapitala" display="PK"/>
    <hyperlink ref="F1" location="Bilanca!A1" tooltip="Unos podataka u Bilancu" display="Bilanca"/>
    <hyperlink ref="G1" location="RDG!A1" tooltip="Unos podataka u Račun dobiti i gubitka" display="RDG"/>
  </hyperlinks>
  <printOptions horizontalCentered="1"/>
  <pageMargins left="0.5905511811023623" right="0.5905511811023623" top="0.3937007874015748" bottom="0.3937007874015748" header="0.1968503937007874" footer="0.1968503937007874"/>
  <pageSetup horizontalDpi="1200" verticalDpi="12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Burić Mandić Nedjeljka</cp:lastModifiedBy>
  <cp:lastPrinted>2017-04-21T10:33:39Z</cp:lastPrinted>
  <dcterms:created xsi:type="dcterms:W3CDTF">2008-10-17T11:51:54Z</dcterms:created>
  <dcterms:modified xsi:type="dcterms:W3CDTF">2017-06-26T09:36:15Z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